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HouseB-334 N 9th " sheetId="1" r:id="rId3"/>
  </sheets>
  <definedNames/>
  <calcPr/>
</workbook>
</file>

<file path=xl/comments1.xml><?xml version="1.0" encoding="utf-8"?>
<comments xmlns="http://schemas.openxmlformats.org/spreadsheetml/2006/main">
  <authors>
    <author/>
  </authors>
  <commentList>
    <comment authorId="0" ref="C2">
      <text>
        <t xml:space="preserve">NOI = Potential Rent Income  - Expected Vacancy - Operating Expenses. Included in operating expenses is property tax, utilities not paid by tenants, property management fee, and monthly maintenance.  Not included are debt service, leasing fees, personal taxes, and capital expenses.  </t>
      </text>
    </comment>
  </commentList>
</comments>
</file>

<file path=xl/sharedStrings.xml><?xml version="1.0" encoding="utf-8"?>
<sst xmlns="http://schemas.openxmlformats.org/spreadsheetml/2006/main" count="78" uniqueCount="73">
  <si>
    <t>Assumptions</t>
  </si>
  <si>
    <t>334 N9th, Reading PA</t>
  </si>
  <si>
    <t>Year of Investment</t>
  </si>
  <si>
    <t>Investment</t>
  </si>
  <si>
    <t>Value of House</t>
  </si>
  <si>
    <t>Net Operating Income</t>
  </si>
  <si>
    <t xml:space="preserve"> Value of House </t>
  </si>
  <si>
    <t>Sale Price</t>
  </si>
  <si>
    <t>Anuual Net Cash Flow</t>
  </si>
  <si>
    <t>Loan Rate</t>
  </si>
  <si>
    <t>Back at Closing</t>
  </si>
  <si>
    <t>Rate of Return (IRR) -- pre-tax</t>
  </si>
  <si>
    <t>Monthly Mortgage</t>
  </si>
  <si>
    <t>% Deposit at Closing</t>
  </si>
  <si>
    <t>Cap Rate</t>
  </si>
  <si>
    <t xml:space="preserve">Yearly Mortgage   </t>
  </si>
  <si>
    <t>Initial Loan Rate</t>
  </si>
  <si>
    <t>Initial Deposit</t>
  </si>
  <si>
    <t>Yearly Interest on Mortgage</t>
  </si>
  <si>
    <t>Fixed # of Years</t>
  </si>
  <si>
    <t>CAC (Cash on Cash Return)</t>
  </si>
  <si>
    <t>Yearly Principle on Mortgage</t>
  </si>
  <si>
    <t>Total Length of Loan</t>
  </si>
  <si>
    <t>Total Principle Paid</t>
  </si>
  <si>
    <t>Initial House Fixing Costs</t>
  </si>
  <si>
    <t>Depreciation</t>
  </si>
  <si>
    <t># of Units</t>
  </si>
  <si>
    <t>Property Tax</t>
  </si>
  <si>
    <t>Unit 1 Rent</t>
  </si>
  <si>
    <t>Additional Costs (water, trash) and gas heat,electric</t>
  </si>
  <si>
    <t>Unit 2 Rent</t>
  </si>
  <si>
    <t>Home Owners Insurance</t>
  </si>
  <si>
    <t>Unit 3 Rent</t>
  </si>
  <si>
    <t>Estimated Monthly Gross Income</t>
  </si>
  <si>
    <t>Unit 4 Rent</t>
  </si>
  <si>
    <t>Estimated Yearly Gross Income</t>
  </si>
  <si>
    <t>Unit 5 Garage</t>
  </si>
  <si>
    <t>Expected Vacancy (missed rent)</t>
  </si>
  <si>
    <t>Extra Rent / Income-Garage</t>
  </si>
  <si>
    <t>New Leasing Commission</t>
  </si>
  <si>
    <t># of Units Currently Rented</t>
  </si>
  <si>
    <t>Property Management Fee</t>
  </si>
  <si>
    <t>Maintenance + Improvement Cost</t>
  </si>
  <si>
    <t>Is owner Real Estate Agent?</t>
  </si>
  <si>
    <t>no</t>
  </si>
  <si>
    <t>Yearly Total Cost</t>
  </si>
  <si>
    <t>Is owner Real Estate Broker?</t>
  </si>
  <si>
    <t>Yearly Total Revenue</t>
  </si>
  <si>
    <t>Yearly Property Tax</t>
  </si>
  <si>
    <t>Yearly water bill for property</t>
  </si>
  <si>
    <t>Yearly Profit</t>
  </si>
  <si>
    <t>Yearly Trash bill for property</t>
  </si>
  <si>
    <t>House Equity (when paid off)</t>
  </si>
  <si>
    <t>Yearly Gas Bill for property</t>
  </si>
  <si>
    <t>oil</t>
  </si>
  <si>
    <t>Yearly Electric Bill for property</t>
  </si>
  <si>
    <t>Cash Flow before Taxes (CFBT)</t>
  </si>
  <si>
    <t>Rate of Return (IRR)</t>
  </si>
  <si>
    <t>Expected Vacancy Rate</t>
  </si>
  <si>
    <t>Taxable Income</t>
  </si>
  <si>
    <t>Fixed Variables (Dont change)</t>
  </si>
  <si>
    <t>Taxes Paid</t>
  </si>
  <si>
    <t>Additional Closing Fees</t>
  </si>
  <si>
    <t>Cash Flow with Taxes</t>
  </si>
  <si>
    <t>Down Deposit</t>
  </si>
  <si>
    <t>After Tax Rate of Return (AT IRR)</t>
  </si>
  <si>
    <t>Loan Amount</t>
  </si>
  <si>
    <t>Yearly Appreciation Rate</t>
  </si>
  <si>
    <t>Total Monthly Gross Income</t>
  </si>
  <si>
    <t>Total Yearly Gross Income</t>
  </si>
  <si>
    <t>Rent Prior to First Mortgage</t>
  </si>
  <si>
    <t>Real Estate Commission</t>
  </si>
  <si>
    <t>Broker Commission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</si>
</sst>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
    <numFmt numFmtId="165" formatCode="&quot;$&quot;#,##0.00"/>
  </numFmts>
  <fonts count="6">
    <font>
      <sz val="10.0"/>
      <color rgb="FF000000"/>
      <name val="Arial"/>
    </font>
    <font>
      <b/>
    </font>
    <font/>
    <font>
      <i/>
    </font>
    <font>
      <b/>
      <sz val="11.0"/>
      <color rgb="FF000000"/>
      <name val="Inconsolata"/>
    </font>
    <font>
      <sz val="11.0"/>
      <color rgb="FF000000"/>
      <name val="Inconsolata"/>
    </font>
  </fonts>
  <fills count="10">
    <fill>
      <patternFill patternType="none"/>
    </fill>
    <fill>
      <patternFill patternType="lightGray"/>
    </fill>
    <fill>
      <patternFill patternType="solid">
        <fgColor rgb="FF999999"/>
        <bgColor rgb="FF999999"/>
      </patternFill>
    </fill>
    <fill>
      <patternFill patternType="solid">
        <fgColor rgb="FF00FFFF"/>
        <bgColor rgb="FF00FFFF"/>
      </patternFill>
    </fill>
    <fill>
      <patternFill patternType="solid">
        <fgColor rgb="FFFFFFFF"/>
        <bgColor rgb="FFFFFFFF"/>
      </patternFill>
    </fill>
    <fill>
      <patternFill patternType="solid">
        <fgColor rgb="FF93C47D"/>
        <bgColor rgb="FF93C47D"/>
      </patternFill>
    </fill>
    <fill>
      <patternFill patternType="solid">
        <fgColor rgb="FF00FF00"/>
        <bgColor rgb="FF00FF00"/>
      </patternFill>
    </fill>
    <fill>
      <patternFill patternType="solid">
        <fgColor rgb="FFEA9999"/>
        <bgColor rgb="FFEA9999"/>
      </patternFill>
    </fill>
    <fill>
      <patternFill patternType="solid">
        <fgColor rgb="FFB7B7B7"/>
        <bgColor rgb="FFB7B7B7"/>
      </patternFill>
    </fill>
    <fill>
      <patternFill patternType="solid">
        <fgColor rgb="FFB6D7A8"/>
        <bgColor rgb="FFB6D7A8"/>
      </patternFill>
    </fill>
  </fills>
  <borders count="5">
    <border>
      <left/>
      <right/>
      <top/>
      <bottom/>
    </border>
    <border>
      <left style="thin">
        <color rgb="FF000000"/>
      </left>
      <right/>
      <top/>
      <bottom/>
    </border>
    <border>
      <left/>
      <right style="thin">
        <color rgb="FF000000"/>
      </right>
      <top/>
      <bottom/>
    </border>
    <border>
      <left style="thin">
        <color rgb="FF000000"/>
      </left>
      <right style="thin">
        <color rgb="FF000000"/>
      </right>
      <top style="thin">
        <color rgb="FF000000"/>
      </top>
      <bottom style="thin">
        <color rgb="FF000000"/>
      </bottom>
    </border>
    <border>
      <left style="thin">
        <color rgb="FF000000"/>
      </left>
      <right/>
      <top/>
      <bottom style="thin">
        <color rgb="FF000000"/>
      </bottom>
    </border>
  </borders>
  <cellStyleXfs count="1">
    <xf borderId="0" fillId="0" fontId="0" numFmtId="0" applyAlignment="1" applyFont="1"/>
  </cellStyleXfs>
  <cellXfs count="62">
    <xf borderId="0" fillId="0" fontId="0" numFmtId="0" xfId="0" applyAlignment="1" applyFont="1">
      <alignment/>
    </xf>
    <xf borderId="1" fillId="0" fontId="1" numFmtId="0" xfId="0" applyAlignment="1" applyBorder="1" applyFont="1">
      <alignment/>
    </xf>
    <xf borderId="0" fillId="0" fontId="2" numFmtId="0" xfId="0" applyAlignment="1" applyFont="1">
      <alignment/>
    </xf>
    <xf borderId="0" fillId="0" fontId="3" numFmtId="0" xfId="0" applyAlignment="1" applyFont="1">
      <alignment/>
    </xf>
    <xf borderId="2" fillId="0" fontId="2" numFmtId="0" xfId="0" applyBorder="1" applyFont="1"/>
    <xf borderId="0" fillId="2" fontId="2" numFmtId="0" xfId="0" applyFill="1" applyFont="1"/>
    <xf borderId="1" fillId="0" fontId="2" numFmtId="0" xfId="0" applyAlignment="1" applyBorder="1" applyFont="1">
      <alignment/>
    </xf>
    <xf borderId="0" fillId="0" fontId="2" numFmtId="0" xfId="0" applyAlignment="1" applyFont="1">
      <alignment/>
    </xf>
    <xf borderId="2" fillId="3" fontId="2" numFmtId="3" xfId="0" applyAlignment="1" applyBorder="1" applyFill="1" applyFont="1" applyNumberFormat="1">
      <alignment/>
    </xf>
    <xf borderId="2" fillId="0" fontId="2" numFmtId="164" xfId="0" applyAlignment="1" applyBorder="1" applyFont="1" applyNumberFormat="1">
      <alignment/>
    </xf>
    <xf borderId="0" fillId="2" fontId="2" numFmtId="0" xfId="0" applyAlignment="1" applyFont="1">
      <alignment/>
    </xf>
    <xf borderId="1" fillId="0" fontId="2" numFmtId="0" xfId="0" applyAlignment="1" applyBorder="1" applyFont="1">
      <alignment/>
    </xf>
    <xf borderId="0" fillId="4" fontId="2" numFmtId="164" xfId="0" applyAlignment="1" applyFill="1" applyFont="1" applyNumberFormat="1">
      <alignment/>
    </xf>
    <xf borderId="0" fillId="0" fontId="2" numFmtId="164" xfId="0" applyFont="1" applyNumberFormat="1"/>
    <xf borderId="0" fillId="5" fontId="2" numFmtId="0" xfId="0" applyAlignment="1" applyFill="1" applyFont="1">
      <alignment/>
    </xf>
    <xf borderId="0" fillId="5" fontId="2" numFmtId="0" xfId="0" applyFont="1"/>
    <xf borderId="0" fillId="5" fontId="2" numFmtId="0" xfId="0" applyFont="1"/>
    <xf borderId="2" fillId="3" fontId="2" numFmtId="0" xfId="0" applyAlignment="1" applyBorder="1" applyFont="1">
      <alignment/>
    </xf>
    <xf borderId="3" fillId="6" fontId="4" numFmtId="9" xfId="0" applyBorder="1" applyFill="1" applyFont="1" applyNumberFormat="1"/>
    <xf borderId="2" fillId="3" fontId="2" numFmtId="9" xfId="0" applyAlignment="1" applyBorder="1" applyFont="1" applyNumberFormat="1">
      <alignment/>
    </xf>
    <xf borderId="2" fillId="0" fontId="2" numFmtId="10" xfId="0" applyAlignment="1" applyBorder="1" applyFont="1" applyNumberFormat="1">
      <alignment/>
    </xf>
    <xf borderId="3" fillId="7" fontId="1" numFmtId="164" xfId="0" applyAlignment="1" applyBorder="1" applyFill="1" applyFont="1" applyNumberFormat="1">
      <alignment/>
    </xf>
    <xf borderId="0" fillId="4" fontId="5" numFmtId="0" xfId="0" applyAlignment="1" applyFont="1">
      <alignment/>
    </xf>
    <xf borderId="2" fillId="0" fontId="2" numFmtId="0" xfId="0" applyAlignment="1" applyBorder="1" applyFont="1">
      <alignment/>
    </xf>
    <xf borderId="0" fillId="2" fontId="2" numFmtId="164" xfId="0" applyAlignment="1" applyFont="1" applyNumberFormat="1">
      <alignment/>
    </xf>
    <xf borderId="1" fillId="0" fontId="2" numFmtId="164" xfId="0" applyAlignment="1" applyBorder="1" applyFont="1" applyNumberFormat="1">
      <alignment/>
    </xf>
    <xf borderId="0" fillId="4" fontId="2" numFmtId="164" xfId="0" applyFont="1" applyNumberFormat="1"/>
    <xf borderId="0" fillId="4" fontId="2" numFmtId="3" xfId="0" applyAlignment="1" applyFont="1" applyNumberFormat="1">
      <alignment/>
    </xf>
    <xf borderId="0" fillId="0" fontId="2" numFmtId="3" xfId="0" applyFont="1" applyNumberFormat="1"/>
    <xf borderId="1" fillId="0" fontId="3" numFmtId="0" xfId="0" applyAlignment="1" applyBorder="1" applyFont="1">
      <alignment/>
    </xf>
    <xf borderId="0" fillId="4" fontId="2" numFmtId="3" xfId="0" applyFont="1" applyNumberFormat="1"/>
    <xf borderId="2" fillId="3" fontId="2" numFmtId="0" xfId="0" applyAlignment="1" applyBorder="1" applyFont="1">
      <alignment/>
    </xf>
    <xf borderId="0" fillId="0" fontId="2" numFmtId="164" xfId="0" applyAlignment="1" applyFont="1" applyNumberFormat="1">
      <alignment/>
    </xf>
    <xf borderId="0" fillId="0" fontId="2" numFmtId="3" xfId="0" applyAlignment="1" applyFont="1" applyNumberFormat="1">
      <alignment/>
    </xf>
    <xf borderId="1" fillId="3" fontId="2" numFmtId="0" xfId="0" applyAlignment="1" applyBorder="1" applyFont="1">
      <alignment/>
    </xf>
    <xf borderId="0" fillId="4" fontId="5" numFmtId="164" xfId="0" applyFont="1" applyNumberFormat="1"/>
    <xf borderId="2" fillId="3" fontId="2" numFmtId="0" xfId="0" applyAlignment="1" applyBorder="1" applyFont="1">
      <alignment horizontal="center"/>
    </xf>
    <xf borderId="1" fillId="8" fontId="2" numFmtId="0" xfId="0" applyBorder="1" applyFill="1" applyFont="1"/>
    <xf borderId="0" fillId="8" fontId="2" numFmtId="0" xfId="0" applyFont="1"/>
    <xf borderId="0" fillId="6" fontId="2" numFmtId="10" xfId="0" applyFont="1" applyNumberFormat="1"/>
    <xf borderId="1" fillId="0" fontId="2" numFmtId="0" xfId="0" applyBorder="1" applyFont="1"/>
    <xf borderId="0" fillId="0" fontId="2" numFmtId="10" xfId="0" applyFont="1" applyNumberFormat="1"/>
    <xf borderId="4" fillId="0" fontId="1" numFmtId="0" xfId="0" applyAlignment="1" applyBorder="1" applyFont="1">
      <alignment/>
    </xf>
    <xf borderId="2" fillId="4" fontId="5" numFmtId="0" xfId="0" applyBorder="1" applyFont="1"/>
    <xf borderId="0" fillId="0" fontId="2" numFmtId="165" xfId="0" applyFont="1" applyNumberFormat="1"/>
    <xf borderId="2" fillId="0" fontId="2" numFmtId="0" xfId="0" applyAlignment="1" applyBorder="1" applyFont="1">
      <alignment/>
    </xf>
    <xf borderId="0" fillId="4" fontId="2" numFmtId="0" xfId="0" applyAlignment="1" applyFont="1">
      <alignment/>
    </xf>
    <xf borderId="2" fillId="4" fontId="2" numFmtId="0" xfId="0" applyAlignment="1" applyBorder="1" applyFont="1">
      <alignment/>
    </xf>
    <xf borderId="0" fillId="9" fontId="2" numFmtId="9" xfId="0" applyFill="1" applyFont="1" applyNumberFormat="1"/>
    <xf borderId="2" fillId="0" fontId="2" numFmtId="3" xfId="0" applyAlignment="1" applyBorder="1" applyFont="1" applyNumberFormat="1">
      <alignment/>
    </xf>
    <xf borderId="1" fillId="4" fontId="2" numFmtId="0" xfId="0" applyBorder="1" applyFont="1"/>
    <xf borderId="2" fillId="4" fontId="2" numFmtId="0" xfId="0" applyBorder="1" applyFont="1"/>
    <xf borderId="1" fillId="4" fontId="2" numFmtId="0" xfId="0" applyAlignment="1" applyBorder="1" applyFont="1">
      <alignment/>
    </xf>
    <xf borderId="0" fillId="4" fontId="2" numFmtId="0" xfId="0" applyFont="1"/>
    <xf borderId="0" fillId="4" fontId="2" numFmtId="0" xfId="0" applyFont="1"/>
    <xf borderId="1" fillId="4" fontId="2" numFmtId="164" xfId="0" applyAlignment="1" applyBorder="1" applyFont="1" applyNumberFormat="1">
      <alignment/>
    </xf>
    <xf borderId="2" fillId="4" fontId="2" numFmtId="164" xfId="0" applyAlignment="1" applyBorder="1" applyFont="1" applyNumberFormat="1">
      <alignment/>
    </xf>
    <xf borderId="1" fillId="4" fontId="2" numFmtId="0" xfId="0" applyAlignment="1" applyBorder="1" applyFont="1">
      <alignment/>
    </xf>
    <xf borderId="0" fillId="4" fontId="2" numFmtId="10" xfId="0" applyFont="1" applyNumberFormat="1"/>
    <xf borderId="0" fillId="7" fontId="1" numFmtId="164" xfId="0" applyFont="1" applyNumberFormat="1"/>
    <xf borderId="0" fillId="4" fontId="2" numFmtId="10" xfId="0" applyFont="1" applyNumberFormat="1"/>
    <xf borderId="0" fillId="4" fontId="2" numFmtId="165"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worksheet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6.0" ySplit="1.0" topLeftCell="G2" activePane="bottomRight" state="frozen"/>
      <selection activeCell="G1" sqref="G1" pane="topRight"/>
      <selection activeCell="A2" sqref="A2" pane="bottomLeft"/>
      <selection activeCell="G2" sqref="G2" pane="bottomRight"/>
    </sheetView>
  </sheetViews>
  <sheetFormatPr customHeight="1" defaultColWidth="14.43" defaultRowHeight="15.75"/>
  <cols>
    <col customWidth="1" min="1" max="1" width="28.29"/>
    <col customWidth="1" min="2" max="2" width="8.57"/>
    <col customWidth="1" min="3" max="3" width="27.29"/>
    <col customWidth="1" min="4" max="4" width="9.29"/>
    <col customWidth="1" min="5" max="5" width="6.0"/>
    <col customWidth="1" min="6" max="6" width="29.14"/>
    <col customWidth="1" min="7" max="8" width="10.86"/>
    <col customWidth="1" min="9" max="9" width="10.29"/>
    <col customWidth="1" min="10" max="10" width="9.14"/>
    <col customWidth="1" min="11" max="11" width="9.86"/>
    <col customWidth="1" min="12" max="13" width="10.14"/>
    <col customWidth="1" min="14" max="14" width="9.86"/>
    <col customWidth="1" min="15" max="15" width="9.57"/>
    <col customWidth="1" min="16" max="17" width="8.71"/>
    <col customWidth="1" min="18" max="18" width="9.71"/>
    <col customWidth="1" min="19" max="19" width="10.0"/>
    <col customWidth="1" min="20" max="20" width="9.14"/>
    <col customWidth="1" min="21" max="21" width="9.43"/>
    <col customWidth="1" min="22" max="22" width="11.29"/>
    <col customWidth="1" min="23" max="23" width="9.43"/>
    <col customWidth="1" min="24" max="24" width="9.14"/>
    <col customWidth="1" min="25" max="25" width="10.86"/>
    <col customWidth="1" min="26" max="26" width="12.71"/>
    <col customWidth="1" min="27" max="27" width="9.86"/>
    <col customWidth="1" min="28" max="28" width="10.43"/>
    <col customWidth="1" min="29" max="29" width="10.29"/>
    <col customWidth="1" min="30" max="30" width="8.57"/>
    <col customWidth="1" min="31" max="31" width="9.57"/>
    <col customWidth="1" min="32" max="32" width="10.57"/>
    <col customWidth="1" min="33" max="34" width="9.71"/>
    <col customWidth="1" min="35" max="36" width="10.57"/>
    <col customWidth="1" min="37" max="37" width="12.14"/>
  </cols>
  <sheetData>
    <row r="1">
      <c r="A1" s="1" t="s">
        <v>0</v>
      </c>
      <c r="B1" s="2"/>
      <c r="C1" s="3" t="s">
        <v>1</v>
      </c>
      <c r="D1" s="4"/>
      <c r="E1" s="5"/>
      <c r="F1" s="6" t="s">
        <v>2</v>
      </c>
      <c r="G1" s="7" t="s">
        <v>3</v>
      </c>
      <c r="H1" s="2">
        <v>1.0</v>
      </c>
      <c r="I1" s="2">
        <v>2.0</v>
      </c>
      <c r="J1" s="2">
        <v>3.0</v>
      </c>
      <c r="K1" s="2">
        <v>4.0</v>
      </c>
      <c r="L1" s="2">
        <v>5.0</v>
      </c>
      <c r="M1" s="2">
        <v>6.0</v>
      </c>
      <c r="N1" s="2">
        <v>7.0</v>
      </c>
      <c r="O1" s="2">
        <v>8.0</v>
      </c>
      <c r="P1" s="2">
        <v>9.0</v>
      </c>
      <c r="Q1" s="2">
        <v>10.0</v>
      </c>
      <c r="R1" s="2">
        <v>11.0</v>
      </c>
      <c r="S1" s="2">
        <v>12.0</v>
      </c>
      <c r="T1" s="2">
        <v>13.0</v>
      </c>
      <c r="U1" s="2">
        <v>14.0</v>
      </c>
      <c r="V1" s="2">
        <v>15.0</v>
      </c>
      <c r="W1" s="2">
        <v>16.0</v>
      </c>
      <c r="X1" s="2">
        <v>17.0</v>
      </c>
      <c r="Y1" s="2">
        <v>18.0</v>
      </c>
      <c r="Z1" s="2">
        <v>19.0</v>
      </c>
      <c r="AA1" s="2">
        <v>20.0</v>
      </c>
      <c r="AB1" s="2">
        <v>21.0</v>
      </c>
      <c r="AC1" s="2">
        <v>22.0</v>
      </c>
      <c r="AD1" s="2">
        <v>23.0</v>
      </c>
      <c r="AE1" s="2">
        <v>24.0</v>
      </c>
      <c r="AF1" s="2">
        <v>25.0</v>
      </c>
      <c r="AG1" s="2">
        <v>26.0</v>
      </c>
      <c r="AH1" s="2">
        <v>27.0</v>
      </c>
      <c r="AI1" s="2">
        <v>28.0</v>
      </c>
      <c r="AJ1" s="2">
        <v>29.0</v>
      </c>
      <c r="AK1" s="2">
        <v>30.0</v>
      </c>
    </row>
    <row r="2">
      <c r="A2" s="6" t="s">
        <v>4</v>
      </c>
      <c r="B2" s="8">
        <v>73900.0</v>
      </c>
      <c r="C2" s="2" t="s">
        <v>5</v>
      </c>
      <c r="D2" s="9" t="str">
        <f t="shared" ref="D2:D3" si="2">H21</f>
        <v>$12,071</v>
      </c>
      <c r="E2" s="10"/>
      <c r="F2" s="11" t="s">
        <v>6</v>
      </c>
      <c r="G2" s="12" t="str">
        <f>B2</f>
        <v>$73,900</v>
      </c>
      <c r="H2" s="13" t="str">
        <f t="shared" ref="H2:AK2" si="1">G2*$B$34</f>
        <v>$76,117</v>
      </c>
      <c r="I2" s="13" t="str">
        <f t="shared" si="1"/>
        <v>$78,401</v>
      </c>
      <c r="J2" s="13" t="str">
        <f t="shared" si="1"/>
        <v>$80,753</v>
      </c>
      <c r="K2" s="13" t="str">
        <f t="shared" si="1"/>
        <v>$83,175</v>
      </c>
      <c r="L2" s="13" t="str">
        <f t="shared" si="1"/>
        <v>$85,670</v>
      </c>
      <c r="M2" s="13" t="str">
        <f t="shared" si="1"/>
        <v>$88,240</v>
      </c>
      <c r="N2" s="13" t="str">
        <f t="shared" si="1"/>
        <v>$90,888</v>
      </c>
      <c r="O2" s="13" t="str">
        <f t="shared" si="1"/>
        <v>$93,614</v>
      </c>
      <c r="P2" s="13" t="str">
        <f t="shared" si="1"/>
        <v>$96,423</v>
      </c>
      <c r="Q2" s="13" t="str">
        <f t="shared" si="1"/>
        <v>$99,315</v>
      </c>
      <c r="R2" s="13" t="str">
        <f t="shared" si="1"/>
        <v>$102,295</v>
      </c>
      <c r="S2" s="13" t="str">
        <f t="shared" si="1"/>
        <v>$105,364</v>
      </c>
      <c r="T2" s="13" t="str">
        <f t="shared" si="1"/>
        <v>$108,525</v>
      </c>
      <c r="U2" s="13" t="str">
        <f t="shared" si="1"/>
        <v>$111,780</v>
      </c>
      <c r="V2" s="13" t="str">
        <f t="shared" si="1"/>
        <v>$115,134</v>
      </c>
      <c r="W2" s="13" t="str">
        <f t="shared" si="1"/>
        <v>$118,588</v>
      </c>
      <c r="X2" s="13" t="str">
        <f t="shared" si="1"/>
        <v>$122,145</v>
      </c>
      <c r="Y2" s="13" t="str">
        <f t="shared" si="1"/>
        <v>$125,810</v>
      </c>
      <c r="Z2" s="13" t="str">
        <f t="shared" si="1"/>
        <v>$129,584</v>
      </c>
      <c r="AA2" s="13" t="str">
        <f t="shared" si="1"/>
        <v>$133,472</v>
      </c>
      <c r="AB2" s="13" t="str">
        <f t="shared" si="1"/>
        <v>$137,476</v>
      </c>
      <c r="AC2" s="13" t="str">
        <f t="shared" si="1"/>
        <v>$141,600</v>
      </c>
      <c r="AD2" s="13" t="str">
        <f t="shared" si="1"/>
        <v>$145,848</v>
      </c>
      <c r="AE2" s="13" t="str">
        <f t="shared" si="1"/>
        <v>$150,223</v>
      </c>
      <c r="AF2" s="13" t="str">
        <f t="shared" si="1"/>
        <v>$154,730</v>
      </c>
      <c r="AG2" s="13" t="str">
        <f t="shared" si="1"/>
        <v>$159,372</v>
      </c>
      <c r="AH2" s="13" t="str">
        <f t="shared" si="1"/>
        <v>$164,153</v>
      </c>
      <c r="AI2" s="13" t="str">
        <f t="shared" si="1"/>
        <v>$169,078</v>
      </c>
      <c r="AJ2" s="13" t="str">
        <f t="shared" si="1"/>
        <v>$174,150</v>
      </c>
      <c r="AK2" s="13" t="str">
        <f t="shared" si="1"/>
        <v>$179,375</v>
      </c>
    </row>
    <row r="3">
      <c r="A3" s="6" t="s">
        <v>7</v>
      </c>
      <c r="B3" s="8">
        <v>73900.0</v>
      </c>
      <c r="C3" s="2" t="s">
        <v>8</v>
      </c>
      <c r="D3" s="9" t="str">
        <f t="shared" si="2"/>
        <v>$4,676</v>
      </c>
      <c r="E3" s="10"/>
      <c r="F3" s="11" t="s">
        <v>9</v>
      </c>
      <c r="G3" s="14" t="str">
        <f>B6</f>
        <v>0.055</v>
      </c>
      <c r="H3" s="15" t="str">
        <f t="shared" ref="H3:AK3" si="3">if(H1&lt;($B$7+1),$B$6,if(H1&lt;($B$8+1),0.1,0))</f>
        <v>0.055</v>
      </c>
      <c r="I3" s="15" t="str">
        <f t="shared" si="3"/>
        <v>0.055</v>
      </c>
      <c r="J3" s="15" t="str">
        <f t="shared" si="3"/>
        <v>0.055</v>
      </c>
      <c r="K3" s="15" t="str">
        <f t="shared" si="3"/>
        <v>0.055</v>
      </c>
      <c r="L3" s="15" t="str">
        <f t="shared" si="3"/>
        <v>0.055</v>
      </c>
      <c r="M3" s="16" t="str">
        <f t="shared" si="3"/>
        <v>0.1</v>
      </c>
      <c r="N3" s="16" t="str">
        <f t="shared" si="3"/>
        <v>0.1</v>
      </c>
      <c r="O3" s="16" t="str">
        <f t="shared" si="3"/>
        <v>0.1</v>
      </c>
      <c r="P3" s="16" t="str">
        <f t="shared" si="3"/>
        <v>0.1</v>
      </c>
      <c r="Q3" s="16" t="str">
        <f t="shared" si="3"/>
        <v>0.1</v>
      </c>
      <c r="R3" s="16" t="str">
        <f t="shared" si="3"/>
        <v>0.1</v>
      </c>
      <c r="S3" s="16" t="str">
        <f t="shared" si="3"/>
        <v>0.1</v>
      </c>
      <c r="T3" s="16" t="str">
        <f t="shared" si="3"/>
        <v>0.1</v>
      </c>
      <c r="U3" s="16" t="str">
        <f t="shared" si="3"/>
        <v>0.1</v>
      </c>
      <c r="V3" s="16" t="str">
        <f t="shared" si="3"/>
        <v>0.1</v>
      </c>
      <c r="W3" s="16" t="str">
        <f t="shared" si="3"/>
        <v>0.1</v>
      </c>
      <c r="X3" s="16" t="str">
        <f t="shared" si="3"/>
        <v>0.1</v>
      </c>
      <c r="Y3" s="16" t="str">
        <f t="shared" si="3"/>
        <v>0.1</v>
      </c>
      <c r="Z3" s="16" t="str">
        <f t="shared" si="3"/>
        <v>0.1</v>
      </c>
      <c r="AA3" s="16" t="str">
        <f t="shared" si="3"/>
        <v>0.1</v>
      </c>
      <c r="AB3" s="16" t="str">
        <f t="shared" si="3"/>
        <v>0</v>
      </c>
      <c r="AC3" s="16" t="str">
        <f t="shared" si="3"/>
        <v>0</v>
      </c>
      <c r="AD3" s="16" t="str">
        <f t="shared" si="3"/>
        <v>0</v>
      </c>
      <c r="AE3" s="16" t="str">
        <f t="shared" si="3"/>
        <v>0</v>
      </c>
      <c r="AF3" s="16" t="str">
        <f t="shared" si="3"/>
        <v>0</v>
      </c>
      <c r="AG3" s="16" t="str">
        <f t="shared" si="3"/>
        <v>0</v>
      </c>
      <c r="AH3" s="16" t="str">
        <f t="shared" si="3"/>
        <v>0</v>
      </c>
      <c r="AI3" s="16" t="str">
        <f t="shared" si="3"/>
        <v>0</v>
      </c>
      <c r="AJ3" s="16" t="str">
        <f t="shared" si="3"/>
        <v>0</v>
      </c>
      <c r="AK3" s="16" t="str">
        <f t="shared" si="3"/>
        <v>0</v>
      </c>
    </row>
    <row r="4">
      <c r="A4" s="6" t="s">
        <v>10</v>
      </c>
      <c r="B4" s="17" t="str">
        <f>B3*0.02</f>
        <v>1478</v>
      </c>
      <c r="C4" s="2" t="s">
        <v>11</v>
      </c>
      <c r="D4" s="18" t="str">
        <f>irr(G25:V25)</f>
        <v>20%</v>
      </c>
      <c r="E4" s="10"/>
      <c r="F4" s="11" t="s">
        <v>12</v>
      </c>
      <c r="G4" s="13"/>
      <c r="H4" s="13" t="str">
        <f t="shared" ref="H4:AK4" si="4">if(H1&gt;($B$8),0,(PMT((H3/12),($B$8*12),-$B$33)))</f>
        <v>$407</v>
      </c>
      <c r="I4" s="13" t="str">
        <f t="shared" si="4"/>
        <v>$407</v>
      </c>
      <c r="J4" s="13" t="str">
        <f t="shared" si="4"/>
        <v>$407</v>
      </c>
      <c r="K4" s="13" t="str">
        <f t="shared" si="4"/>
        <v>$407</v>
      </c>
      <c r="L4" s="13" t="str">
        <f t="shared" si="4"/>
        <v>$407</v>
      </c>
      <c r="M4" s="13" t="str">
        <f t="shared" si="4"/>
        <v>$571</v>
      </c>
      <c r="N4" s="13" t="str">
        <f t="shared" si="4"/>
        <v>$571</v>
      </c>
      <c r="O4" s="13" t="str">
        <f t="shared" si="4"/>
        <v>$571</v>
      </c>
      <c r="P4" s="13" t="str">
        <f t="shared" si="4"/>
        <v>$571</v>
      </c>
      <c r="Q4" s="13" t="str">
        <f t="shared" si="4"/>
        <v>$571</v>
      </c>
      <c r="R4" s="13" t="str">
        <f t="shared" si="4"/>
        <v>$571</v>
      </c>
      <c r="S4" s="13" t="str">
        <f t="shared" si="4"/>
        <v>$571</v>
      </c>
      <c r="T4" s="13" t="str">
        <f t="shared" si="4"/>
        <v>$571</v>
      </c>
      <c r="U4" s="13" t="str">
        <f t="shared" si="4"/>
        <v>$571</v>
      </c>
      <c r="V4" s="13" t="str">
        <f t="shared" si="4"/>
        <v>$571</v>
      </c>
      <c r="W4" s="13" t="str">
        <f t="shared" si="4"/>
        <v>$571</v>
      </c>
      <c r="X4" s="13" t="str">
        <f t="shared" si="4"/>
        <v>$571</v>
      </c>
      <c r="Y4" s="13" t="str">
        <f t="shared" si="4"/>
        <v>$571</v>
      </c>
      <c r="Z4" s="13" t="str">
        <f t="shared" si="4"/>
        <v>$571</v>
      </c>
      <c r="AA4" s="13" t="str">
        <f t="shared" si="4"/>
        <v>$571</v>
      </c>
      <c r="AB4" s="13" t="str">
        <f t="shared" si="4"/>
        <v>$0</v>
      </c>
      <c r="AC4" s="13" t="str">
        <f t="shared" si="4"/>
        <v>$0</v>
      </c>
      <c r="AD4" s="13" t="str">
        <f t="shared" si="4"/>
        <v>$0</v>
      </c>
      <c r="AE4" s="13" t="str">
        <f t="shared" si="4"/>
        <v>$0</v>
      </c>
      <c r="AF4" s="13" t="str">
        <f t="shared" si="4"/>
        <v>$0</v>
      </c>
      <c r="AG4" s="13" t="str">
        <f t="shared" si="4"/>
        <v>$0</v>
      </c>
      <c r="AH4" s="13" t="str">
        <f t="shared" si="4"/>
        <v>$0</v>
      </c>
      <c r="AI4" s="13" t="str">
        <f t="shared" si="4"/>
        <v>$0</v>
      </c>
      <c r="AJ4" s="13" t="str">
        <f t="shared" si="4"/>
        <v>$0</v>
      </c>
      <c r="AK4" s="13" t="str">
        <f t="shared" si="4"/>
        <v>$0</v>
      </c>
    </row>
    <row r="5">
      <c r="A5" s="6" t="s">
        <v>13</v>
      </c>
      <c r="B5" s="19">
        <v>0.2</v>
      </c>
      <c r="C5" s="2" t="s">
        <v>14</v>
      </c>
      <c r="D5" s="20" t="str">
        <f>D2/B3</f>
        <v>16.33%</v>
      </c>
      <c r="E5" s="10"/>
      <c r="F5" s="11" t="s">
        <v>15</v>
      </c>
      <c r="G5" s="13"/>
      <c r="H5" s="13" t="str">
        <f t="shared" ref="H5:AK5" si="5">H4*12</f>
        <v>$4,880</v>
      </c>
      <c r="I5" s="13" t="str">
        <f t="shared" si="5"/>
        <v>$4,880</v>
      </c>
      <c r="J5" s="13" t="str">
        <f t="shared" si="5"/>
        <v>$4,880</v>
      </c>
      <c r="K5" s="13" t="str">
        <f t="shared" si="5"/>
        <v>$4,880</v>
      </c>
      <c r="L5" s="13" t="str">
        <f t="shared" si="5"/>
        <v>$4,880</v>
      </c>
      <c r="M5" s="13" t="str">
        <f t="shared" si="5"/>
        <v>$6,846</v>
      </c>
      <c r="N5" s="13" t="str">
        <f t="shared" si="5"/>
        <v>$6,846</v>
      </c>
      <c r="O5" s="13" t="str">
        <f t="shared" si="5"/>
        <v>$6,846</v>
      </c>
      <c r="P5" s="13" t="str">
        <f t="shared" si="5"/>
        <v>$6,846</v>
      </c>
      <c r="Q5" s="13" t="str">
        <f t="shared" si="5"/>
        <v>$6,846</v>
      </c>
      <c r="R5" s="13" t="str">
        <f t="shared" si="5"/>
        <v>$6,846</v>
      </c>
      <c r="S5" s="13" t="str">
        <f t="shared" si="5"/>
        <v>$6,846</v>
      </c>
      <c r="T5" s="13" t="str">
        <f t="shared" si="5"/>
        <v>$6,846</v>
      </c>
      <c r="U5" s="13" t="str">
        <f t="shared" si="5"/>
        <v>$6,846</v>
      </c>
      <c r="V5" s="13" t="str">
        <f t="shared" si="5"/>
        <v>$6,846</v>
      </c>
      <c r="W5" s="13" t="str">
        <f t="shared" si="5"/>
        <v>$6,846</v>
      </c>
      <c r="X5" s="13" t="str">
        <f t="shared" si="5"/>
        <v>$6,846</v>
      </c>
      <c r="Y5" s="13" t="str">
        <f t="shared" si="5"/>
        <v>$6,846</v>
      </c>
      <c r="Z5" s="13" t="str">
        <f t="shared" si="5"/>
        <v>$6,846</v>
      </c>
      <c r="AA5" s="13" t="str">
        <f t="shared" si="5"/>
        <v>$6,846</v>
      </c>
      <c r="AB5" s="13" t="str">
        <f t="shared" si="5"/>
        <v>$0</v>
      </c>
      <c r="AC5" s="13" t="str">
        <f t="shared" si="5"/>
        <v>$0</v>
      </c>
      <c r="AD5" s="13" t="str">
        <f t="shared" si="5"/>
        <v>$0</v>
      </c>
      <c r="AE5" s="13" t="str">
        <f t="shared" si="5"/>
        <v>$0</v>
      </c>
      <c r="AF5" s="13" t="str">
        <f t="shared" si="5"/>
        <v>$0</v>
      </c>
      <c r="AG5" s="13" t="str">
        <f t="shared" si="5"/>
        <v>$0</v>
      </c>
      <c r="AH5" s="13" t="str">
        <f t="shared" si="5"/>
        <v>$0</v>
      </c>
      <c r="AI5" s="13" t="str">
        <f t="shared" si="5"/>
        <v>$0</v>
      </c>
      <c r="AJ5" s="13" t="str">
        <f t="shared" si="5"/>
        <v>$0</v>
      </c>
      <c r="AK5" s="13" t="str">
        <f t="shared" si="5"/>
        <v>$0</v>
      </c>
    </row>
    <row r="6">
      <c r="A6" s="6" t="s">
        <v>16</v>
      </c>
      <c r="B6" s="17">
        <v>0.055</v>
      </c>
      <c r="C6" s="2" t="s">
        <v>17</v>
      </c>
      <c r="D6" s="21" t="str">
        <f>B40</f>
        <v>$24,398</v>
      </c>
      <c r="E6" s="10"/>
      <c r="F6" s="11" t="s">
        <v>18</v>
      </c>
      <c r="G6" s="13"/>
      <c r="H6" s="13" t="str">
        <f>H3*B33</f>
        <v>$3,252</v>
      </c>
      <c r="I6" s="13" t="str">
        <f t="shared" ref="I6:AK6" si="6">($B$33-H8)*I3</f>
        <v>$3,162</v>
      </c>
      <c r="J6" s="13" t="str">
        <f t="shared" si="6"/>
        <v>$3,068</v>
      </c>
      <c r="K6" s="13" t="str">
        <f t="shared" si="6"/>
        <v>$2,968</v>
      </c>
      <c r="L6" s="13" t="str">
        <f t="shared" si="6"/>
        <v>$2,863</v>
      </c>
      <c r="M6" s="13" t="str">
        <f t="shared" si="6"/>
        <v>$5,003</v>
      </c>
      <c r="N6" s="13" t="str">
        <f t="shared" si="6"/>
        <v>$4,819</v>
      </c>
      <c r="O6" s="13" t="str">
        <f t="shared" si="6"/>
        <v>$4,616</v>
      </c>
      <c r="P6" s="13" t="str">
        <f t="shared" si="6"/>
        <v>$4,393</v>
      </c>
      <c r="Q6" s="13" t="str">
        <f t="shared" si="6"/>
        <v>$4,148</v>
      </c>
      <c r="R6" s="13" t="str">
        <f t="shared" si="6"/>
        <v>$3,878</v>
      </c>
      <c r="S6" s="13" t="str">
        <f t="shared" si="6"/>
        <v>$3,581</v>
      </c>
      <c r="T6" s="13" t="str">
        <f t="shared" si="6"/>
        <v>$3,254</v>
      </c>
      <c r="U6" s="13" t="str">
        <f t="shared" si="6"/>
        <v>$2,895</v>
      </c>
      <c r="V6" s="13" t="str">
        <f t="shared" si="6"/>
        <v>$2,500</v>
      </c>
      <c r="W6" s="13" t="str">
        <f t="shared" si="6"/>
        <v>$2,066</v>
      </c>
      <c r="X6" s="13" t="str">
        <f t="shared" si="6"/>
        <v>$1,588</v>
      </c>
      <c r="Y6" s="13" t="str">
        <f t="shared" si="6"/>
        <v>$1,062</v>
      </c>
      <c r="Z6" s="13" t="str">
        <f t="shared" si="6"/>
        <v>$483</v>
      </c>
      <c r="AA6" s="13" t="str">
        <f t="shared" si="6"/>
        <v>-$153</v>
      </c>
      <c r="AB6" s="13" t="str">
        <f t="shared" si="6"/>
        <v>$0</v>
      </c>
      <c r="AC6" s="13" t="str">
        <f t="shared" si="6"/>
        <v>$0</v>
      </c>
      <c r="AD6" s="13" t="str">
        <f t="shared" si="6"/>
        <v>$0</v>
      </c>
      <c r="AE6" s="13" t="str">
        <f t="shared" si="6"/>
        <v>$0</v>
      </c>
      <c r="AF6" s="13" t="str">
        <f t="shared" si="6"/>
        <v>$0</v>
      </c>
      <c r="AG6" s="13" t="str">
        <f t="shared" si="6"/>
        <v>$0</v>
      </c>
      <c r="AH6" s="13" t="str">
        <f t="shared" si="6"/>
        <v>$0</v>
      </c>
      <c r="AI6" s="13" t="str">
        <f t="shared" si="6"/>
        <v>$0</v>
      </c>
      <c r="AJ6" s="13" t="str">
        <f t="shared" si="6"/>
        <v>$0</v>
      </c>
      <c r="AK6" s="13" t="str">
        <f t="shared" si="6"/>
        <v>$0</v>
      </c>
    </row>
    <row r="7">
      <c r="A7" s="6" t="s">
        <v>19</v>
      </c>
      <c r="B7" s="17">
        <v>5.0</v>
      </c>
      <c r="C7" s="22" t="s">
        <v>20</v>
      </c>
      <c r="D7" s="20" t="str">
        <f>H25/D6</f>
        <v>19.16%</v>
      </c>
      <c r="E7" s="10"/>
      <c r="F7" s="11" t="s">
        <v>21</v>
      </c>
      <c r="G7" s="13"/>
      <c r="H7" s="13" t="str">
        <f t="shared" ref="H7:AK7" si="7">H5-H6</f>
        <v>$1,629</v>
      </c>
      <c r="I7" s="13" t="str">
        <f t="shared" si="7"/>
        <v>$1,718</v>
      </c>
      <c r="J7" s="13" t="str">
        <f t="shared" si="7"/>
        <v>$1,813</v>
      </c>
      <c r="K7" s="13" t="str">
        <f t="shared" si="7"/>
        <v>$1,912</v>
      </c>
      <c r="L7" s="13" t="str">
        <f t="shared" si="7"/>
        <v>$2,017</v>
      </c>
      <c r="M7" s="13" t="str">
        <f t="shared" si="7"/>
        <v>$1,843</v>
      </c>
      <c r="N7" s="13" t="str">
        <f t="shared" si="7"/>
        <v>$2,027</v>
      </c>
      <c r="O7" s="13" t="str">
        <f t="shared" si="7"/>
        <v>$2,230</v>
      </c>
      <c r="P7" s="13" t="str">
        <f t="shared" si="7"/>
        <v>$2,453</v>
      </c>
      <c r="Q7" s="13" t="str">
        <f t="shared" si="7"/>
        <v>$2,699</v>
      </c>
      <c r="R7" s="13" t="str">
        <f t="shared" si="7"/>
        <v>$2,968</v>
      </c>
      <c r="S7" s="13" t="str">
        <f t="shared" si="7"/>
        <v>$3,265</v>
      </c>
      <c r="T7" s="13" t="str">
        <f t="shared" si="7"/>
        <v>$3,592</v>
      </c>
      <c r="U7" s="13" t="str">
        <f t="shared" si="7"/>
        <v>$3,951</v>
      </c>
      <c r="V7" s="13" t="str">
        <f t="shared" si="7"/>
        <v>$4,346</v>
      </c>
      <c r="W7" s="13" t="str">
        <f t="shared" si="7"/>
        <v>$4,781</v>
      </c>
      <c r="X7" s="13" t="str">
        <f t="shared" si="7"/>
        <v>$5,259</v>
      </c>
      <c r="Y7" s="13" t="str">
        <f t="shared" si="7"/>
        <v>$5,785</v>
      </c>
      <c r="Z7" s="13" t="str">
        <f t="shared" si="7"/>
        <v>$6,363</v>
      </c>
      <c r="AA7" s="13" t="str">
        <f t="shared" si="7"/>
        <v>$6,999</v>
      </c>
      <c r="AB7" s="13" t="str">
        <f t="shared" si="7"/>
        <v>$0</v>
      </c>
      <c r="AC7" s="13" t="str">
        <f t="shared" si="7"/>
        <v>$0</v>
      </c>
      <c r="AD7" s="13" t="str">
        <f t="shared" si="7"/>
        <v>$0</v>
      </c>
      <c r="AE7" s="13" t="str">
        <f t="shared" si="7"/>
        <v>$0</v>
      </c>
      <c r="AF7" s="13" t="str">
        <f t="shared" si="7"/>
        <v>$0</v>
      </c>
      <c r="AG7" s="13" t="str">
        <f t="shared" si="7"/>
        <v>$0</v>
      </c>
      <c r="AH7" s="13" t="str">
        <f t="shared" si="7"/>
        <v>$0</v>
      </c>
      <c r="AI7" s="13" t="str">
        <f t="shared" si="7"/>
        <v>$0</v>
      </c>
      <c r="AJ7" s="13" t="str">
        <f t="shared" si="7"/>
        <v>$0</v>
      </c>
      <c r="AK7" s="13" t="str">
        <f t="shared" si="7"/>
        <v>$0</v>
      </c>
    </row>
    <row r="8">
      <c r="A8" s="6" t="s">
        <v>22</v>
      </c>
      <c r="B8" s="17">
        <v>20.0</v>
      </c>
      <c r="C8" s="7"/>
      <c r="D8" s="23"/>
      <c r="E8" s="10"/>
      <c r="F8" s="11" t="s">
        <v>23</v>
      </c>
      <c r="G8" s="13"/>
      <c r="H8" s="13" t="str">
        <f>H7</f>
        <v>$1,629</v>
      </c>
      <c r="I8" s="13" t="str">
        <f t="shared" ref="I8:AK8" si="8">I7+H8</f>
        <v>$3,347</v>
      </c>
      <c r="J8" s="13" t="str">
        <f t="shared" si="8"/>
        <v>$5,159</v>
      </c>
      <c r="K8" s="13" t="str">
        <f t="shared" si="8"/>
        <v>$7,072</v>
      </c>
      <c r="L8" s="13" t="str">
        <f t="shared" si="8"/>
        <v>$9,089</v>
      </c>
      <c r="M8" s="13" t="str">
        <f t="shared" si="8"/>
        <v>$10,932</v>
      </c>
      <c r="N8" s="13" t="str">
        <f t="shared" si="8"/>
        <v>$12,960</v>
      </c>
      <c r="O8" s="13" t="str">
        <f t="shared" si="8"/>
        <v>$15,190</v>
      </c>
      <c r="P8" s="13" t="str">
        <f t="shared" si="8"/>
        <v>$17,643</v>
      </c>
      <c r="Q8" s="13" t="str">
        <f t="shared" si="8"/>
        <v>$20,342</v>
      </c>
      <c r="R8" s="13" t="str">
        <f t="shared" si="8"/>
        <v>$23,310</v>
      </c>
      <c r="S8" s="13" t="str">
        <f t="shared" si="8"/>
        <v>$26,575</v>
      </c>
      <c r="T8" s="13" t="str">
        <f t="shared" si="8"/>
        <v>$30,167</v>
      </c>
      <c r="U8" s="13" t="str">
        <f t="shared" si="8"/>
        <v>$34,118</v>
      </c>
      <c r="V8" s="13" t="str">
        <f t="shared" si="8"/>
        <v>$38,464</v>
      </c>
      <c r="W8" s="13" t="str">
        <f t="shared" si="8"/>
        <v>$43,245</v>
      </c>
      <c r="X8" s="13" t="str">
        <f t="shared" si="8"/>
        <v>$48,504</v>
      </c>
      <c r="Y8" s="13" t="str">
        <f t="shared" si="8"/>
        <v>$54,288</v>
      </c>
      <c r="Z8" s="13" t="str">
        <f t="shared" si="8"/>
        <v>$60,651</v>
      </c>
      <c r="AA8" s="13" t="str">
        <f t="shared" si="8"/>
        <v>$67,651</v>
      </c>
      <c r="AB8" s="13" t="str">
        <f t="shared" si="8"/>
        <v>$67,651</v>
      </c>
      <c r="AC8" s="13" t="str">
        <f t="shared" si="8"/>
        <v>$67,651</v>
      </c>
      <c r="AD8" s="13" t="str">
        <f t="shared" si="8"/>
        <v>$67,651</v>
      </c>
      <c r="AE8" s="13" t="str">
        <f t="shared" si="8"/>
        <v>$67,651</v>
      </c>
      <c r="AF8" s="13" t="str">
        <f t="shared" si="8"/>
        <v>$67,651</v>
      </c>
      <c r="AG8" s="13" t="str">
        <f t="shared" si="8"/>
        <v>$67,651</v>
      </c>
      <c r="AH8" s="13" t="str">
        <f t="shared" si="8"/>
        <v>$67,651</v>
      </c>
      <c r="AI8" s="13" t="str">
        <f t="shared" si="8"/>
        <v>$67,651</v>
      </c>
      <c r="AJ8" s="13" t="str">
        <f t="shared" si="8"/>
        <v>$67,651</v>
      </c>
      <c r="AK8" s="13" t="str">
        <f t="shared" si="8"/>
        <v>$67,651</v>
      </c>
    </row>
    <row r="9">
      <c r="A9" s="6" t="s">
        <v>24</v>
      </c>
      <c r="B9" s="17">
        <v>5000.0</v>
      </c>
      <c r="C9" s="7"/>
      <c r="D9" s="23"/>
      <c r="E9" s="24"/>
      <c r="F9" s="25" t="s">
        <v>25</v>
      </c>
      <c r="G9" s="13"/>
      <c r="H9" s="26" t="str">
        <f t="shared" ref="H9:AH9" si="9">$H$2/27.5</f>
        <v>$2,768</v>
      </c>
      <c r="I9" s="13" t="str">
        <f t="shared" si="9"/>
        <v>$2,768</v>
      </c>
      <c r="J9" s="13" t="str">
        <f t="shared" si="9"/>
        <v>$2,768</v>
      </c>
      <c r="K9" s="13" t="str">
        <f t="shared" si="9"/>
        <v>$2,768</v>
      </c>
      <c r="L9" s="13" t="str">
        <f t="shared" si="9"/>
        <v>$2,768</v>
      </c>
      <c r="M9" s="13" t="str">
        <f t="shared" si="9"/>
        <v>$2,768</v>
      </c>
      <c r="N9" s="13" t="str">
        <f t="shared" si="9"/>
        <v>$2,768</v>
      </c>
      <c r="O9" s="13" t="str">
        <f t="shared" si="9"/>
        <v>$2,768</v>
      </c>
      <c r="P9" s="13" t="str">
        <f t="shared" si="9"/>
        <v>$2,768</v>
      </c>
      <c r="Q9" s="13" t="str">
        <f t="shared" si="9"/>
        <v>$2,768</v>
      </c>
      <c r="R9" s="13" t="str">
        <f t="shared" si="9"/>
        <v>$2,768</v>
      </c>
      <c r="S9" s="13" t="str">
        <f t="shared" si="9"/>
        <v>$2,768</v>
      </c>
      <c r="T9" s="13" t="str">
        <f t="shared" si="9"/>
        <v>$2,768</v>
      </c>
      <c r="U9" s="13" t="str">
        <f t="shared" si="9"/>
        <v>$2,768</v>
      </c>
      <c r="V9" s="13" t="str">
        <f t="shared" si="9"/>
        <v>$2,768</v>
      </c>
      <c r="W9" s="13" t="str">
        <f t="shared" si="9"/>
        <v>$2,768</v>
      </c>
      <c r="X9" s="13" t="str">
        <f t="shared" si="9"/>
        <v>$2,768</v>
      </c>
      <c r="Y9" s="13" t="str">
        <f t="shared" si="9"/>
        <v>$2,768</v>
      </c>
      <c r="Z9" s="13" t="str">
        <f t="shared" si="9"/>
        <v>$2,768</v>
      </c>
      <c r="AA9" s="13" t="str">
        <f t="shared" si="9"/>
        <v>$2,768</v>
      </c>
      <c r="AB9" s="13" t="str">
        <f t="shared" si="9"/>
        <v>$2,768</v>
      </c>
      <c r="AC9" s="13" t="str">
        <f t="shared" si="9"/>
        <v>$2,768</v>
      </c>
      <c r="AD9" s="13" t="str">
        <f t="shared" si="9"/>
        <v>$2,768</v>
      </c>
      <c r="AE9" s="13" t="str">
        <f t="shared" si="9"/>
        <v>$2,768</v>
      </c>
      <c r="AF9" s="13" t="str">
        <f t="shared" si="9"/>
        <v>$2,768</v>
      </c>
      <c r="AG9" s="13" t="str">
        <f t="shared" si="9"/>
        <v>$2,768</v>
      </c>
      <c r="AH9" s="13" t="str">
        <f t="shared" si="9"/>
        <v>$2,768</v>
      </c>
      <c r="AI9" s="13" t="str">
        <f>$H$2/27.5/2</f>
        <v>$1,384</v>
      </c>
      <c r="AJ9" s="13"/>
      <c r="AK9" s="13"/>
    </row>
    <row r="10">
      <c r="A10" s="6" t="s">
        <v>26</v>
      </c>
      <c r="B10" s="17">
        <v>4.0</v>
      </c>
      <c r="C10" s="7"/>
      <c r="D10" s="23"/>
      <c r="E10" s="10"/>
      <c r="F10" s="11" t="s">
        <v>27</v>
      </c>
      <c r="G10" s="13"/>
      <c r="H10" s="27" t="str">
        <f>B21</f>
        <v>2,812</v>
      </c>
      <c r="I10" s="28" t="str">
        <f t="shared" ref="I10:AK10" si="10">H10*1.03</f>
        <v>2,896</v>
      </c>
      <c r="J10" s="28" t="str">
        <f t="shared" si="10"/>
        <v>2,983</v>
      </c>
      <c r="K10" s="28" t="str">
        <f t="shared" si="10"/>
        <v>3,073</v>
      </c>
      <c r="L10" s="28" t="str">
        <f t="shared" si="10"/>
        <v>3,165</v>
      </c>
      <c r="M10" s="28" t="str">
        <f t="shared" si="10"/>
        <v>3,260</v>
      </c>
      <c r="N10" s="28" t="str">
        <f t="shared" si="10"/>
        <v>3,358</v>
      </c>
      <c r="O10" s="28" t="str">
        <f t="shared" si="10"/>
        <v>3,458</v>
      </c>
      <c r="P10" s="28" t="str">
        <f t="shared" si="10"/>
        <v>3,562</v>
      </c>
      <c r="Q10" s="28" t="str">
        <f t="shared" si="10"/>
        <v>3,669</v>
      </c>
      <c r="R10" s="28" t="str">
        <f t="shared" si="10"/>
        <v>3,779</v>
      </c>
      <c r="S10" s="28" t="str">
        <f t="shared" si="10"/>
        <v>3,892</v>
      </c>
      <c r="T10" s="28" t="str">
        <f t="shared" si="10"/>
        <v>4,009</v>
      </c>
      <c r="U10" s="28" t="str">
        <f t="shared" si="10"/>
        <v>4,130</v>
      </c>
      <c r="V10" s="28" t="str">
        <f t="shared" si="10"/>
        <v>4,253</v>
      </c>
      <c r="W10" s="28" t="str">
        <f t="shared" si="10"/>
        <v>4,381</v>
      </c>
      <c r="X10" s="28" t="str">
        <f t="shared" si="10"/>
        <v>4,512</v>
      </c>
      <c r="Y10" s="28" t="str">
        <f t="shared" si="10"/>
        <v>4,648</v>
      </c>
      <c r="Z10" s="28" t="str">
        <f t="shared" si="10"/>
        <v>4,787</v>
      </c>
      <c r="AA10" s="28" t="str">
        <f t="shared" si="10"/>
        <v>4,931</v>
      </c>
      <c r="AB10" s="28" t="str">
        <f t="shared" si="10"/>
        <v>5,079</v>
      </c>
      <c r="AC10" s="28" t="str">
        <f t="shared" si="10"/>
        <v>5,231</v>
      </c>
      <c r="AD10" s="28" t="str">
        <f t="shared" si="10"/>
        <v>5,388</v>
      </c>
      <c r="AE10" s="28" t="str">
        <f t="shared" si="10"/>
        <v>5,550</v>
      </c>
      <c r="AF10" s="28" t="str">
        <f t="shared" si="10"/>
        <v>5,716</v>
      </c>
      <c r="AG10" s="28" t="str">
        <f t="shared" si="10"/>
        <v>5,888</v>
      </c>
      <c r="AH10" s="28" t="str">
        <f t="shared" si="10"/>
        <v>6,064</v>
      </c>
      <c r="AI10" s="28" t="str">
        <f t="shared" si="10"/>
        <v>6,246</v>
      </c>
      <c r="AJ10" s="28" t="str">
        <f t="shared" si="10"/>
        <v>6,434</v>
      </c>
      <c r="AK10" s="28" t="str">
        <f t="shared" si="10"/>
        <v>6,627</v>
      </c>
    </row>
    <row r="11">
      <c r="A11" s="6" t="s">
        <v>28</v>
      </c>
      <c r="B11" s="17">
        <v>595.0</v>
      </c>
      <c r="C11" s="7"/>
      <c r="D11" s="23"/>
      <c r="E11" s="10"/>
      <c r="F11" s="11" t="s">
        <v>29</v>
      </c>
      <c r="G11" s="13"/>
      <c r="H11" s="27" t="str">
        <f>B22+B23+B24+B25</f>
        <v>5,740</v>
      </c>
      <c r="I11" s="28" t="str">
        <f t="shared" ref="I11:AK11" si="11">H11*1.03</f>
        <v>5,912</v>
      </c>
      <c r="J11" s="28" t="str">
        <f t="shared" si="11"/>
        <v>6,090</v>
      </c>
      <c r="K11" s="28" t="str">
        <f t="shared" si="11"/>
        <v>6,272</v>
      </c>
      <c r="L11" s="28" t="str">
        <f t="shared" si="11"/>
        <v>6,460</v>
      </c>
      <c r="M11" s="28" t="str">
        <f t="shared" si="11"/>
        <v>6,654</v>
      </c>
      <c r="N11" s="28" t="str">
        <f t="shared" si="11"/>
        <v>6,854</v>
      </c>
      <c r="O11" s="28" t="str">
        <f t="shared" si="11"/>
        <v>7,059</v>
      </c>
      <c r="P11" s="28" t="str">
        <f t="shared" si="11"/>
        <v>7,271</v>
      </c>
      <c r="Q11" s="28" t="str">
        <f t="shared" si="11"/>
        <v>7,489</v>
      </c>
      <c r="R11" s="28" t="str">
        <f t="shared" si="11"/>
        <v>7,714</v>
      </c>
      <c r="S11" s="28" t="str">
        <f t="shared" si="11"/>
        <v>7,946</v>
      </c>
      <c r="T11" s="28" t="str">
        <f t="shared" si="11"/>
        <v>8,184</v>
      </c>
      <c r="U11" s="28" t="str">
        <f t="shared" si="11"/>
        <v>8,429</v>
      </c>
      <c r="V11" s="28" t="str">
        <f t="shared" si="11"/>
        <v>8,682</v>
      </c>
      <c r="W11" s="28" t="str">
        <f t="shared" si="11"/>
        <v>8,943</v>
      </c>
      <c r="X11" s="28" t="str">
        <f t="shared" si="11"/>
        <v>9,211</v>
      </c>
      <c r="Y11" s="28" t="str">
        <f t="shared" si="11"/>
        <v>9,487</v>
      </c>
      <c r="Z11" s="28" t="str">
        <f t="shared" si="11"/>
        <v>9,772</v>
      </c>
      <c r="AA11" s="28" t="str">
        <f t="shared" si="11"/>
        <v>10,065</v>
      </c>
      <c r="AB11" s="28" t="str">
        <f t="shared" si="11"/>
        <v>10,367</v>
      </c>
      <c r="AC11" s="28" t="str">
        <f t="shared" si="11"/>
        <v>10,678</v>
      </c>
      <c r="AD11" s="28" t="str">
        <f t="shared" si="11"/>
        <v>10,998</v>
      </c>
      <c r="AE11" s="28" t="str">
        <f t="shared" si="11"/>
        <v>11,328</v>
      </c>
      <c r="AF11" s="28" t="str">
        <f t="shared" si="11"/>
        <v>11,668</v>
      </c>
      <c r="AG11" s="28" t="str">
        <f t="shared" si="11"/>
        <v>12,018</v>
      </c>
      <c r="AH11" s="28" t="str">
        <f t="shared" si="11"/>
        <v>12,379</v>
      </c>
      <c r="AI11" s="28" t="str">
        <f t="shared" si="11"/>
        <v>12,750</v>
      </c>
      <c r="AJ11" s="28" t="str">
        <f t="shared" si="11"/>
        <v>13,133</v>
      </c>
      <c r="AK11" s="28" t="str">
        <f t="shared" si="11"/>
        <v>13,527</v>
      </c>
    </row>
    <row r="12">
      <c r="A12" s="29" t="s">
        <v>30</v>
      </c>
      <c r="B12" s="17">
        <v>575.0</v>
      </c>
      <c r="C12" s="7"/>
      <c r="D12" s="23"/>
      <c r="E12" s="10"/>
      <c r="F12" s="11" t="s">
        <v>31</v>
      </c>
      <c r="G12" s="13"/>
      <c r="H12" s="27" t="str">
        <f>B26</f>
        <v>720</v>
      </c>
      <c r="I12" s="28" t="str">
        <f t="shared" ref="I12:AK12" si="12">H12*1.03</f>
        <v>742</v>
      </c>
      <c r="J12" s="28" t="str">
        <f t="shared" si="12"/>
        <v>764</v>
      </c>
      <c r="K12" s="28" t="str">
        <f t="shared" si="12"/>
        <v>787</v>
      </c>
      <c r="L12" s="28" t="str">
        <f t="shared" si="12"/>
        <v>810</v>
      </c>
      <c r="M12" s="28" t="str">
        <f t="shared" si="12"/>
        <v>835</v>
      </c>
      <c r="N12" s="28" t="str">
        <f t="shared" si="12"/>
        <v>860</v>
      </c>
      <c r="O12" s="28" t="str">
        <f t="shared" si="12"/>
        <v>886</v>
      </c>
      <c r="P12" s="28" t="str">
        <f t="shared" si="12"/>
        <v>912</v>
      </c>
      <c r="Q12" s="28" t="str">
        <f t="shared" si="12"/>
        <v>939</v>
      </c>
      <c r="R12" s="28" t="str">
        <f t="shared" si="12"/>
        <v>968</v>
      </c>
      <c r="S12" s="28" t="str">
        <f t="shared" si="12"/>
        <v>997</v>
      </c>
      <c r="T12" s="28" t="str">
        <f t="shared" si="12"/>
        <v>1,027</v>
      </c>
      <c r="U12" s="28" t="str">
        <f t="shared" si="12"/>
        <v>1,057</v>
      </c>
      <c r="V12" s="28" t="str">
        <f t="shared" si="12"/>
        <v>1,089</v>
      </c>
      <c r="W12" s="28" t="str">
        <f t="shared" si="12"/>
        <v>1,122</v>
      </c>
      <c r="X12" s="28" t="str">
        <f t="shared" si="12"/>
        <v>1,155</v>
      </c>
      <c r="Y12" s="28" t="str">
        <f t="shared" si="12"/>
        <v>1,190</v>
      </c>
      <c r="Z12" s="28" t="str">
        <f t="shared" si="12"/>
        <v>1,226</v>
      </c>
      <c r="AA12" s="28" t="str">
        <f t="shared" si="12"/>
        <v>1,263</v>
      </c>
      <c r="AB12" s="28" t="str">
        <f t="shared" si="12"/>
        <v>1,300</v>
      </c>
      <c r="AC12" s="28" t="str">
        <f t="shared" si="12"/>
        <v>1,339</v>
      </c>
      <c r="AD12" s="28" t="str">
        <f t="shared" si="12"/>
        <v>1,380</v>
      </c>
      <c r="AE12" s="28" t="str">
        <f t="shared" si="12"/>
        <v>1,421</v>
      </c>
      <c r="AF12" s="28" t="str">
        <f t="shared" si="12"/>
        <v>1,464</v>
      </c>
      <c r="AG12" s="28" t="str">
        <f t="shared" si="12"/>
        <v>1,508</v>
      </c>
      <c r="AH12" s="28" t="str">
        <f t="shared" si="12"/>
        <v>1,553</v>
      </c>
      <c r="AI12" s="28" t="str">
        <f t="shared" si="12"/>
        <v>1,599</v>
      </c>
      <c r="AJ12" s="28" t="str">
        <f t="shared" si="12"/>
        <v>1,647</v>
      </c>
      <c r="AK12" s="28" t="str">
        <f t="shared" si="12"/>
        <v>1,697</v>
      </c>
    </row>
    <row r="13">
      <c r="A13" s="29" t="s">
        <v>32</v>
      </c>
      <c r="B13" s="17">
        <v>575.0</v>
      </c>
      <c r="C13" s="7"/>
      <c r="D13" s="23"/>
      <c r="E13" s="10"/>
      <c r="F13" s="6" t="s">
        <v>33</v>
      </c>
      <c r="G13" s="13"/>
      <c r="H13" s="27" t="str">
        <f>B35</f>
        <v>2,255</v>
      </c>
      <c r="I13" s="28" t="str">
        <f t="shared" ref="I13:AK13" si="13">H13*1.03</f>
        <v>2,323</v>
      </c>
      <c r="J13" s="28" t="str">
        <f t="shared" si="13"/>
        <v>2,392</v>
      </c>
      <c r="K13" s="28" t="str">
        <f t="shared" si="13"/>
        <v>2,464</v>
      </c>
      <c r="L13" s="28" t="str">
        <f t="shared" si="13"/>
        <v>2,538</v>
      </c>
      <c r="M13" s="28" t="str">
        <f t="shared" si="13"/>
        <v>2,614</v>
      </c>
      <c r="N13" s="28" t="str">
        <f t="shared" si="13"/>
        <v>2,693</v>
      </c>
      <c r="O13" s="28" t="str">
        <f t="shared" si="13"/>
        <v>2,773</v>
      </c>
      <c r="P13" s="28" t="str">
        <f t="shared" si="13"/>
        <v>2,857</v>
      </c>
      <c r="Q13" s="28" t="str">
        <f t="shared" si="13"/>
        <v>2,942</v>
      </c>
      <c r="R13" s="28" t="str">
        <f t="shared" si="13"/>
        <v>3,031</v>
      </c>
      <c r="S13" s="28" t="str">
        <f t="shared" si="13"/>
        <v>3,121</v>
      </c>
      <c r="T13" s="28" t="str">
        <f t="shared" si="13"/>
        <v>3,215</v>
      </c>
      <c r="U13" s="28" t="str">
        <f t="shared" si="13"/>
        <v>3,312</v>
      </c>
      <c r="V13" s="28" t="str">
        <f t="shared" si="13"/>
        <v>3,411</v>
      </c>
      <c r="W13" s="28" t="str">
        <f t="shared" si="13"/>
        <v>3,513</v>
      </c>
      <c r="X13" s="28" t="str">
        <f t="shared" si="13"/>
        <v>3,619</v>
      </c>
      <c r="Y13" s="28" t="str">
        <f t="shared" si="13"/>
        <v>3,727</v>
      </c>
      <c r="Z13" s="28" t="str">
        <f t="shared" si="13"/>
        <v>3,839</v>
      </c>
      <c r="AA13" s="28" t="str">
        <f t="shared" si="13"/>
        <v>3,954</v>
      </c>
      <c r="AB13" s="28" t="str">
        <f t="shared" si="13"/>
        <v>4,073</v>
      </c>
      <c r="AC13" s="28" t="str">
        <f t="shared" si="13"/>
        <v>4,195</v>
      </c>
      <c r="AD13" s="28" t="str">
        <f t="shared" si="13"/>
        <v>4,321</v>
      </c>
      <c r="AE13" s="28" t="str">
        <f t="shared" si="13"/>
        <v>4,450</v>
      </c>
      <c r="AF13" s="28" t="str">
        <f t="shared" si="13"/>
        <v>4,584</v>
      </c>
      <c r="AG13" s="28" t="str">
        <f t="shared" si="13"/>
        <v>4,721</v>
      </c>
      <c r="AH13" s="28" t="str">
        <f t="shared" si="13"/>
        <v>4,863</v>
      </c>
      <c r="AI13" s="28" t="str">
        <f t="shared" si="13"/>
        <v>5,009</v>
      </c>
      <c r="AJ13" s="28" t="str">
        <f t="shared" si="13"/>
        <v>5,159</v>
      </c>
      <c r="AK13" s="28" t="str">
        <f t="shared" si="13"/>
        <v>5,314</v>
      </c>
    </row>
    <row r="14">
      <c r="A14" s="29" t="s">
        <v>34</v>
      </c>
      <c r="B14" s="17">
        <v>450.0</v>
      </c>
      <c r="C14" s="7"/>
      <c r="D14" s="23"/>
      <c r="E14" s="10"/>
      <c r="F14" s="6" t="s">
        <v>35</v>
      </c>
      <c r="G14" s="13"/>
      <c r="H14" s="30" t="str">
        <f>H13*12</f>
        <v>27,060</v>
      </c>
      <c r="I14" s="28" t="str">
        <f t="shared" ref="I14:AK14" si="14">H14*1.03</f>
        <v>27,872</v>
      </c>
      <c r="J14" s="28" t="str">
        <f t="shared" si="14"/>
        <v>28,708</v>
      </c>
      <c r="K14" s="28" t="str">
        <f t="shared" si="14"/>
        <v>29,569</v>
      </c>
      <c r="L14" s="28" t="str">
        <f t="shared" si="14"/>
        <v>30,456</v>
      </c>
      <c r="M14" s="28" t="str">
        <f t="shared" si="14"/>
        <v>31,370</v>
      </c>
      <c r="N14" s="28" t="str">
        <f t="shared" si="14"/>
        <v>32,311</v>
      </c>
      <c r="O14" s="28" t="str">
        <f t="shared" si="14"/>
        <v>33,280</v>
      </c>
      <c r="P14" s="28" t="str">
        <f t="shared" si="14"/>
        <v>34,279</v>
      </c>
      <c r="Q14" s="28" t="str">
        <f t="shared" si="14"/>
        <v>35,307</v>
      </c>
      <c r="R14" s="28" t="str">
        <f t="shared" si="14"/>
        <v>36,366</v>
      </c>
      <c r="S14" s="28" t="str">
        <f t="shared" si="14"/>
        <v>37,457</v>
      </c>
      <c r="T14" s="28" t="str">
        <f t="shared" si="14"/>
        <v>38,581</v>
      </c>
      <c r="U14" s="28" t="str">
        <f t="shared" si="14"/>
        <v>39,739</v>
      </c>
      <c r="V14" s="28" t="str">
        <f t="shared" si="14"/>
        <v>40,931</v>
      </c>
      <c r="W14" s="28" t="str">
        <f t="shared" si="14"/>
        <v>42,159</v>
      </c>
      <c r="X14" s="28" t="str">
        <f t="shared" si="14"/>
        <v>43,423</v>
      </c>
      <c r="Y14" s="28" t="str">
        <f t="shared" si="14"/>
        <v>44,726</v>
      </c>
      <c r="Z14" s="28" t="str">
        <f t="shared" si="14"/>
        <v>46,068</v>
      </c>
      <c r="AA14" s="28" t="str">
        <f t="shared" si="14"/>
        <v>47,450</v>
      </c>
      <c r="AB14" s="28" t="str">
        <f t="shared" si="14"/>
        <v>48,873</v>
      </c>
      <c r="AC14" s="28" t="str">
        <f t="shared" si="14"/>
        <v>50,340</v>
      </c>
      <c r="AD14" s="28" t="str">
        <f t="shared" si="14"/>
        <v>51,850</v>
      </c>
      <c r="AE14" s="28" t="str">
        <f t="shared" si="14"/>
        <v>53,405</v>
      </c>
      <c r="AF14" s="28" t="str">
        <f t="shared" si="14"/>
        <v>55,007</v>
      </c>
      <c r="AG14" s="28" t="str">
        <f t="shared" si="14"/>
        <v>56,658</v>
      </c>
      <c r="AH14" s="28" t="str">
        <f t="shared" si="14"/>
        <v>58,357</v>
      </c>
      <c r="AI14" s="28" t="str">
        <f t="shared" si="14"/>
        <v>60,108</v>
      </c>
      <c r="AJ14" s="28" t="str">
        <f t="shared" si="14"/>
        <v>61,911</v>
      </c>
      <c r="AK14" s="28" t="str">
        <f t="shared" si="14"/>
        <v>63,769</v>
      </c>
    </row>
    <row r="15">
      <c r="A15" s="29" t="s">
        <v>36</v>
      </c>
      <c r="B15" s="31"/>
      <c r="C15" s="7"/>
      <c r="D15" s="23"/>
      <c r="E15" s="10"/>
      <c r="F15" s="6" t="s">
        <v>37</v>
      </c>
      <c r="G15" s="13"/>
      <c r="H15" s="28" t="str">
        <f t="shared" ref="H15:AK15" si="15">(H13*12)*$B$27</f>
        <v>2,706</v>
      </c>
      <c r="I15" s="28" t="str">
        <f t="shared" si="15"/>
        <v>2,787</v>
      </c>
      <c r="J15" s="28" t="str">
        <f t="shared" si="15"/>
        <v>2,871</v>
      </c>
      <c r="K15" s="28" t="str">
        <f t="shared" si="15"/>
        <v>2,957</v>
      </c>
      <c r="L15" s="28" t="str">
        <f t="shared" si="15"/>
        <v>3,046</v>
      </c>
      <c r="M15" s="28" t="str">
        <f t="shared" si="15"/>
        <v>3,137</v>
      </c>
      <c r="N15" s="28" t="str">
        <f t="shared" si="15"/>
        <v>3,231</v>
      </c>
      <c r="O15" s="28" t="str">
        <f t="shared" si="15"/>
        <v>3,328</v>
      </c>
      <c r="P15" s="28" t="str">
        <f t="shared" si="15"/>
        <v>3,428</v>
      </c>
      <c r="Q15" s="28" t="str">
        <f t="shared" si="15"/>
        <v>3,531</v>
      </c>
      <c r="R15" s="28" t="str">
        <f t="shared" si="15"/>
        <v>3,637</v>
      </c>
      <c r="S15" s="28" t="str">
        <f t="shared" si="15"/>
        <v>3,746</v>
      </c>
      <c r="T15" s="28" t="str">
        <f t="shared" si="15"/>
        <v>3,858</v>
      </c>
      <c r="U15" s="28" t="str">
        <f t="shared" si="15"/>
        <v>3,974</v>
      </c>
      <c r="V15" s="28" t="str">
        <f t="shared" si="15"/>
        <v>4,093</v>
      </c>
      <c r="W15" s="28" t="str">
        <f t="shared" si="15"/>
        <v>4,216</v>
      </c>
      <c r="X15" s="28" t="str">
        <f t="shared" si="15"/>
        <v>4,342</v>
      </c>
      <c r="Y15" s="28" t="str">
        <f t="shared" si="15"/>
        <v>4,473</v>
      </c>
      <c r="Z15" s="28" t="str">
        <f t="shared" si="15"/>
        <v>4,607</v>
      </c>
      <c r="AA15" s="28" t="str">
        <f t="shared" si="15"/>
        <v>4,745</v>
      </c>
      <c r="AB15" s="28" t="str">
        <f t="shared" si="15"/>
        <v>4,887</v>
      </c>
      <c r="AC15" s="28" t="str">
        <f t="shared" si="15"/>
        <v>5,034</v>
      </c>
      <c r="AD15" s="28" t="str">
        <f t="shared" si="15"/>
        <v>5,185</v>
      </c>
      <c r="AE15" s="28" t="str">
        <f t="shared" si="15"/>
        <v>5,341</v>
      </c>
      <c r="AF15" s="28" t="str">
        <f t="shared" si="15"/>
        <v>5,501</v>
      </c>
      <c r="AG15" s="28" t="str">
        <f t="shared" si="15"/>
        <v>5,666</v>
      </c>
      <c r="AH15" s="28" t="str">
        <f t="shared" si="15"/>
        <v>5,836</v>
      </c>
      <c r="AI15" s="28" t="str">
        <f t="shared" si="15"/>
        <v>6,011</v>
      </c>
      <c r="AJ15" s="28" t="str">
        <f t="shared" si="15"/>
        <v>6,191</v>
      </c>
      <c r="AK15" s="28" t="str">
        <f t="shared" si="15"/>
        <v>6,377</v>
      </c>
    </row>
    <row r="16">
      <c r="A16" s="25" t="s">
        <v>38</v>
      </c>
      <c r="B16" s="17">
        <v>60.0</v>
      </c>
      <c r="C16" s="7"/>
      <c r="D16" s="23"/>
      <c r="E16" s="10"/>
      <c r="F16" s="6" t="s">
        <v>39</v>
      </c>
      <c r="G16" s="13"/>
      <c r="H16" s="28" t="str">
        <f>H13*0.5</f>
        <v>1,128</v>
      </c>
      <c r="I16" s="28" t="str">
        <f t="shared" ref="I16:AK16" si="16">H16*1.03</f>
        <v>1,161</v>
      </c>
      <c r="J16" s="28" t="str">
        <f t="shared" si="16"/>
        <v>1,196</v>
      </c>
      <c r="K16" s="28" t="str">
        <f t="shared" si="16"/>
        <v>1,232</v>
      </c>
      <c r="L16" s="28" t="str">
        <f t="shared" si="16"/>
        <v>1,269</v>
      </c>
      <c r="M16" s="28" t="str">
        <f t="shared" si="16"/>
        <v>1,307</v>
      </c>
      <c r="N16" s="28" t="str">
        <f t="shared" si="16"/>
        <v>1,346</v>
      </c>
      <c r="O16" s="28" t="str">
        <f t="shared" si="16"/>
        <v>1,387</v>
      </c>
      <c r="P16" s="28" t="str">
        <f t="shared" si="16"/>
        <v>1,428</v>
      </c>
      <c r="Q16" s="28" t="str">
        <f t="shared" si="16"/>
        <v>1,471</v>
      </c>
      <c r="R16" s="28" t="str">
        <f t="shared" si="16"/>
        <v>1,515</v>
      </c>
      <c r="S16" s="28" t="str">
        <f t="shared" si="16"/>
        <v>1,561</v>
      </c>
      <c r="T16" s="28" t="str">
        <f t="shared" si="16"/>
        <v>1,608</v>
      </c>
      <c r="U16" s="28" t="str">
        <f t="shared" si="16"/>
        <v>1,656</v>
      </c>
      <c r="V16" s="28" t="str">
        <f t="shared" si="16"/>
        <v>1,705</v>
      </c>
      <c r="W16" s="28" t="str">
        <f t="shared" si="16"/>
        <v>1,757</v>
      </c>
      <c r="X16" s="28" t="str">
        <f t="shared" si="16"/>
        <v>1,809</v>
      </c>
      <c r="Y16" s="28" t="str">
        <f t="shared" si="16"/>
        <v>1,864</v>
      </c>
      <c r="Z16" s="28" t="str">
        <f t="shared" si="16"/>
        <v>1,919</v>
      </c>
      <c r="AA16" s="28" t="str">
        <f t="shared" si="16"/>
        <v>1,977</v>
      </c>
      <c r="AB16" s="28" t="str">
        <f t="shared" si="16"/>
        <v>2,036</v>
      </c>
      <c r="AC16" s="28" t="str">
        <f t="shared" si="16"/>
        <v>2,097</v>
      </c>
      <c r="AD16" s="28" t="str">
        <f t="shared" si="16"/>
        <v>2,160</v>
      </c>
      <c r="AE16" s="28" t="str">
        <f t="shared" si="16"/>
        <v>2,225</v>
      </c>
      <c r="AF16" s="28" t="str">
        <f t="shared" si="16"/>
        <v>2,292</v>
      </c>
      <c r="AG16" s="28" t="str">
        <f t="shared" si="16"/>
        <v>2,361</v>
      </c>
      <c r="AH16" s="28" t="str">
        <f t="shared" si="16"/>
        <v>2,432</v>
      </c>
      <c r="AI16" s="28" t="str">
        <f t="shared" si="16"/>
        <v>2,505</v>
      </c>
      <c r="AJ16" s="28" t="str">
        <f t="shared" si="16"/>
        <v>2,580</v>
      </c>
      <c r="AK16" s="28" t="str">
        <f t="shared" si="16"/>
        <v>2,657</v>
      </c>
    </row>
    <row r="17">
      <c r="A17" s="6" t="s">
        <v>40</v>
      </c>
      <c r="B17" s="8">
        <v>4.0</v>
      </c>
      <c r="C17" s="32"/>
      <c r="D17" s="9"/>
      <c r="E17" s="10"/>
      <c r="F17" s="6" t="s">
        <v>41</v>
      </c>
      <c r="G17" s="13"/>
      <c r="H17" s="33" t="str">
        <f>(H14*B18)</f>
        <v>1,624</v>
      </c>
      <c r="I17" s="28" t="str">
        <f t="shared" ref="I17:AK17" si="17">H17*1.03</f>
        <v>1,672</v>
      </c>
      <c r="J17" s="28" t="str">
        <f t="shared" si="17"/>
        <v>1,722</v>
      </c>
      <c r="K17" s="28" t="str">
        <f t="shared" si="17"/>
        <v>1,774</v>
      </c>
      <c r="L17" s="28" t="str">
        <f t="shared" si="17"/>
        <v>1,827</v>
      </c>
      <c r="M17" s="28" t="str">
        <f t="shared" si="17"/>
        <v>1,882</v>
      </c>
      <c r="N17" s="28" t="str">
        <f t="shared" si="17"/>
        <v>1,939</v>
      </c>
      <c r="O17" s="28" t="str">
        <f t="shared" si="17"/>
        <v>1,997</v>
      </c>
      <c r="P17" s="28" t="str">
        <f t="shared" si="17"/>
        <v>2,057</v>
      </c>
      <c r="Q17" s="28" t="str">
        <f t="shared" si="17"/>
        <v>2,118</v>
      </c>
      <c r="R17" s="28" t="str">
        <f t="shared" si="17"/>
        <v>2,182</v>
      </c>
      <c r="S17" s="28" t="str">
        <f t="shared" si="17"/>
        <v>2,247</v>
      </c>
      <c r="T17" s="28" t="str">
        <f t="shared" si="17"/>
        <v>2,315</v>
      </c>
      <c r="U17" s="28" t="str">
        <f t="shared" si="17"/>
        <v>2,384</v>
      </c>
      <c r="V17" s="28" t="str">
        <f t="shared" si="17"/>
        <v>2,456</v>
      </c>
      <c r="W17" s="28" t="str">
        <f t="shared" si="17"/>
        <v>2,530</v>
      </c>
      <c r="X17" s="28" t="str">
        <f t="shared" si="17"/>
        <v>2,605</v>
      </c>
      <c r="Y17" s="28" t="str">
        <f t="shared" si="17"/>
        <v>2,684</v>
      </c>
      <c r="Z17" s="28" t="str">
        <f t="shared" si="17"/>
        <v>2,764</v>
      </c>
      <c r="AA17" s="28" t="str">
        <f t="shared" si="17"/>
        <v>2,847</v>
      </c>
      <c r="AB17" s="28" t="str">
        <f t="shared" si="17"/>
        <v>2,932</v>
      </c>
      <c r="AC17" s="28" t="str">
        <f t="shared" si="17"/>
        <v>3,020</v>
      </c>
      <c r="AD17" s="28" t="str">
        <f t="shared" si="17"/>
        <v>3,111</v>
      </c>
      <c r="AE17" s="28" t="str">
        <f t="shared" si="17"/>
        <v>3,204</v>
      </c>
      <c r="AF17" s="28" t="str">
        <f t="shared" si="17"/>
        <v>3,300</v>
      </c>
      <c r="AG17" s="28" t="str">
        <f t="shared" si="17"/>
        <v>3,399</v>
      </c>
      <c r="AH17" s="28" t="str">
        <f t="shared" si="17"/>
        <v>3,501</v>
      </c>
      <c r="AI17" s="28" t="str">
        <f t="shared" si="17"/>
        <v>3,606</v>
      </c>
      <c r="AJ17" s="28" t="str">
        <f t="shared" si="17"/>
        <v>3,715</v>
      </c>
      <c r="AK17" s="28" t="str">
        <f t="shared" si="17"/>
        <v>3,826</v>
      </c>
    </row>
    <row r="18">
      <c r="A18" s="6" t="s">
        <v>41</v>
      </c>
      <c r="B18" s="34">
        <v>0.06</v>
      </c>
      <c r="C18" s="7"/>
      <c r="D18" s="23"/>
      <c r="E18" s="10"/>
      <c r="F18" s="6" t="s">
        <v>42</v>
      </c>
      <c r="G18" s="13"/>
      <c r="H18" s="35" t="str">
        <f>1075+($B$10*425)</f>
        <v>$2,775</v>
      </c>
      <c r="I18" s="35" t="str">
        <f t="shared" ref="I18:AK18" si="18">H18*1.03</f>
        <v>$2,858</v>
      </c>
      <c r="J18" s="35" t="str">
        <f t="shared" si="18"/>
        <v>$2,944</v>
      </c>
      <c r="K18" s="35" t="str">
        <f t="shared" si="18"/>
        <v>$3,032</v>
      </c>
      <c r="L18" s="35" t="str">
        <f t="shared" si="18"/>
        <v>$3,123</v>
      </c>
      <c r="M18" s="35" t="str">
        <f t="shared" si="18"/>
        <v>$3,217</v>
      </c>
      <c r="N18" s="35" t="str">
        <f t="shared" si="18"/>
        <v>$3,313</v>
      </c>
      <c r="O18" s="35" t="str">
        <f t="shared" si="18"/>
        <v>$3,413</v>
      </c>
      <c r="P18" s="35" t="str">
        <f t="shared" si="18"/>
        <v>$3,515</v>
      </c>
      <c r="Q18" s="35" t="str">
        <f t="shared" si="18"/>
        <v>$3,621</v>
      </c>
      <c r="R18" s="35" t="str">
        <f t="shared" si="18"/>
        <v>$3,729</v>
      </c>
      <c r="S18" s="35" t="str">
        <f t="shared" si="18"/>
        <v>$3,841</v>
      </c>
      <c r="T18" s="35" t="str">
        <f t="shared" si="18"/>
        <v>$3,956</v>
      </c>
      <c r="U18" s="35" t="str">
        <f t="shared" si="18"/>
        <v>$4,075</v>
      </c>
      <c r="V18" s="35" t="str">
        <f t="shared" si="18"/>
        <v>$4,197</v>
      </c>
      <c r="W18" s="35" t="str">
        <f t="shared" si="18"/>
        <v>$4,323</v>
      </c>
      <c r="X18" s="35" t="str">
        <f t="shared" si="18"/>
        <v>$4,453</v>
      </c>
      <c r="Y18" s="35" t="str">
        <f t="shared" si="18"/>
        <v>$4,587</v>
      </c>
      <c r="Z18" s="35" t="str">
        <f t="shared" si="18"/>
        <v>$4,724</v>
      </c>
      <c r="AA18" s="35" t="str">
        <f t="shared" si="18"/>
        <v>$4,866</v>
      </c>
      <c r="AB18" s="35" t="str">
        <f t="shared" si="18"/>
        <v>$5,012</v>
      </c>
      <c r="AC18" s="35" t="str">
        <f t="shared" si="18"/>
        <v>$5,162</v>
      </c>
      <c r="AD18" s="35" t="str">
        <f t="shared" si="18"/>
        <v>$5,317</v>
      </c>
      <c r="AE18" s="35" t="str">
        <f t="shared" si="18"/>
        <v>$5,477</v>
      </c>
      <c r="AF18" s="35" t="str">
        <f t="shared" si="18"/>
        <v>$5,641</v>
      </c>
      <c r="AG18" s="35" t="str">
        <f t="shared" si="18"/>
        <v>$5,810</v>
      </c>
      <c r="AH18" s="35" t="str">
        <f t="shared" si="18"/>
        <v>$5,985</v>
      </c>
      <c r="AI18" s="35" t="str">
        <f t="shared" si="18"/>
        <v>$6,164</v>
      </c>
      <c r="AJ18" s="35" t="str">
        <f t="shared" si="18"/>
        <v>$6,349</v>
      </c>
      <c r="AK18" s="35" t="str">
        <f t="shared" si="18"/>
        <v>$6,539</v>
      </c>
    </row>
    <row r="19">
      <c r="A19" s="6" t="s">
        <v>43</v>
      </c>
      <c r="B19" s="36" t="s">
        <v>44</v>
      </c>
      <c r="C19" s="7"/>
      <c r="D19" s="23"/>
      <c r="E19" s="10"/>
      <c r="F19" s="11" t="s">
        <v>45</v>
      </c>
      <c r="G19" s="13"/>
      <c r="H19" s="13" t="str">
        <f t="shared" ref="H19:AK19" si="19">H5+H10+H11+H12+H15+H16+H17+H18</f>
        <v>$22,384</v>
      </c>
      <c r="I19" s="13" t="str">
        <f t="shared" si="19"/>
        <v>$22,909</v>
      </c>
      <c r="J19" s="13" t="str">
        <f t="shared" si="19"/>
        <v>$23,450</v>
      </c>
      <c r="K19" s="13" t="str">
        <f t="shared" si="19"/>
        <v>$24,007</v>
      </c>
      <c r="L19" s="13" t="str">
        <f t="shared" si="19"/>
        <v>$24,581</v>
      </c>
      <c r="M19" s="13" t="str">
        <f t="shared" si="19"/>
        <v>$27,138</v>
      </c>
      <c r="N19" s="13" t="str">
        <f t="shared" si="19"/>
        <v>$27,747</v>
      </c>
      <c r="O19" s="13" t="str">
        <f t="shared" si="19"/>
        <v>$28,374</v>
      </c>
      <c r="P19" s="13" t="str">
        <f t="shared" si="19"/>
        <v>$29,020</v>
      </c>
      <c r="Q19" s="13" t="str">
        <f t="shared" si="19"/>
        <v>$29,685</v>
      </c>
      <c r="R19" s="13" t="str">
        <f t="shared" si="19"/>
        <v>$30,370</v>
      </c>
      <c r="S19" s="13" t="str">
        <f t="shared" si="19"/>
        <v>$31,076</v>
      </c>
      <c r="T19" s="13" t="str">
        <f t="shared" si="19"/>
        <v>$31,803</v>
      </c>
      <c r="U19" s="13" t="str">
        <f t="shared" si="19"/>
        <v>$32,552</v>
      </c>
      <c r="V19" s="13" t="str">
        <f t="shared" si="19"/>
        <v>$33,323</v>
      </c>
      <c r="W19" s="13" t="str">
        <f t="shared" si="19"/>
        <v>$34,117</v>
      </c>
      <c r="X19" s="13" t="str">
        <f t="shared" si="19"/>
        <v>$34,935</v>
      </c>
      <c r="Y19" s="13" t="str">
        <f t="shared" si="19"/>
        <v>$35,778</v>
      </c>
      <c r="Z19" s="13" t="str">
        <f t="shared" si="19"/>
        <v>$36,646</v>
      </c>
      <c r="AA19" s="13" t="str">
        <f t="shared" si="19"/>
        <v>$37,540</v>
      </c>
      <c r="AB19" s="13" t="str">
        <f t="shared" si="19"/>
        <v>$31,614</v>
      </c>
      <c r="AC19" s="13" t="str">
        <f t="shared" si="19"/>
        <v>$32,563</v>
      </c>
      <c r="AD19" s="13" t="str">
        <f t="shared" si="19"/>
        <v>$33,540</v>
      </c>
      <c r="AE19" s="13" t="str">
        <f t="shared" si="19"/>
        <v>$34,546</v>
      </c>
      <c r="AF19" s="13" t="str">
        <f t="shared" si="19"/>
        <v>$35,582</v>
      </c>
      <c r="AG19" s="13" t="str">
        <f t="shared" si="19"/>
        <v>$36,650</v>
      </c>
      <c r="AH19" s="13" t="str">
        <f t="shared" si="19"/>
        <v>$37,749</v>
      </c>
      <c r="AI19" s="13" t="str">
        <f t="shared" si="19"/>
        <v>$38,882</v>
      </c>
      <c r="AJ19" s="13" t="str">
        <f t="shared" si="19"/>
        <v>$40,048</v>
      </c>
      <c r="AK19" s="13" t="str">
        <f t="shared" si="19"/>
        <v>$41,250</v>
      </c>
    </row>
    <row r="20">
      <c r="A20" s="6" t="s">
        <v>46</v>
      </c>
      <c r="B20" s="36" t="s">
        <v>44</v>
      </c>
      <c r="C20" s="7"/>
      <c r="D20" s="23"/>
      <c r="E20" s="10"/>
      <c r="F20" s="11" t="s">
        <v>47</v>
      </c>
      <c r="G20" s="13"/>
      <c r="H20" s="13" t="str">
        <f t="shared" ref="H20:AK20" si="20">H13*12</f>
        <v>$27,060</v>
      </c>
      <c r="I20" s="13" t="str">
        <f t="shared" si="20"/>
        <v>$27,872</v>
      </c>
      <c r="J20" s="13" t="str">
        <f t="shared" si="20"/>
        <v>$28,708</v>
      </c>
      <c r="K20" s="13" t="str">
        <f t="shared" si="20"/>
        <v>$29,569</v>
      </c>
      <c r="L20" s="13" t="str">
        <f t="shared" si="20"/>
        <v>$30,456</v>
      </c>
      <c r="M20" s="13" t="str">
        <f t="shared" si="20"/>
        <v>$31,370</v>
      </c>
      <c r="N20" s="13" t="str">
        <f t="shared" si="20"/>
        <v>$32,311</v>
      </c>
      <c r="O20" s="13" t="str">
        <f t="shared" si="20"/>
        <v>$33,280</v>
      </c>
      <c r="P20" s="13" t="str">
        <f t="shared" si="20"/>
        <v>$34,279</v>
      </c>
      <c r="Q20" s="13" t="str">
        <f t="shared" si="20"/>
        <v>$35,307</v>
      </c>
      <c r="R20" s="13" t="str">
        <f t="shared" si="20"/>
        <v>$36,366</v>
      </c>
      <c r="S20" s="13" t="str">
        <f t="shared" si="20"/>
        <v>$37,457</v>
      </c>
      <c r="T20" s="13" t="str">
        <f t="shared" si="20"/>
        <v>$38,581</v>
      </c>
      <c r="U20" s="13" t="str">
        <f t="shared" si="20"/>
        <v>$39,739</v>
      </c>
      <c r="V20" s="13" t="str">
        <f t="shared" si="20"/>
        <v>$40,931</v>
      </c>
      <c r="W20" s="13" t="str">
        <f t="shared" si="20"/>
        <v>$42,159</v>
      </c>
      <c r="X20" s="13" t="str">
        <f t="shared" si="20"/>
        <v>$43,423</v>
      </c>
      <c r="Y20" s="13" t="str">
        <f t="shared" si="20"/>
        <v>$44,726</v>
      </c>
      <c r="Z20" s="13" t="str">
        <f t="shared" si="20"/>
        <v>$46,068</v>
      </c>
      <c r="AA20" s="13" t="str">
        <f t="shared" si="20"/>
        <v>$47,450</v>
      </c>
      <c r="AB20" s="13" t="str">
        <f t="shared" si="20"/>
        <v>$48,873</v>
      </c>
      <c r="AC20" s="13" t="str">
        <f t="shared" si="20"/>
        <v>$50,340</v>
      </c>
      <c r="AD20" s="13" t="str">
        <f t="shared" si="20"/>
        <v>$51,850</v>
      </c>
      <c r="AE20" s="13" t="str">
        <f t="shared" si="20"/>
        <v>$53,405</v>
      </c>
      <c r="AF20" s="13" t="str">
        <f t="shared" si="20"/>
        <v>$55,007</v>
      </c>
      <c r="AG20" s="13" t="str">
        <f t="shared" si="20"/>
        <v>$56,658</v>
      </c>
      <c r="AH20" s="13" t="str">
        <f t="shared" si="20"/>
        <v>$58,357</v>
      </c>
      <c r="AI20" s="13" t="str">
        <f t="shared" si="20"/>
        <v>$60,108</v>
      </c>
      <c r="AJ20" s="13" t="str">
        <f t="shared" si="20"/>
        <v>$61,911</v>
      </c>
      <c r="AK20" s="13" t="str">
        <f t="shared" si="20"/>
        <v>$63,769</v>
      </c>
    </row>
    <row r="21">
      <c r="A21" s="6" t="s">
        <v>48</v>
      </c>
      <c r="B21" s="8">
        <v>2812.0</v>
      </c>
      <c r="C21" s="7"/>
      <c r="D21" s="23"/>
      <c r="E21" s="10"/>
      <c r="F21" s="11" t="s">
        <v>5</v>
      </c>
      <c r="G21" s="13"/>
      <c r="H21" s="13" t="str">
        <f>H14-H10-H11-H12-H15-H17-(H18/2)</f>
        <v>$12,071</v>
      </c>
      <c r="I21" s="13" t="str">
        <f t="shared" ref="I21:AK21" si="21">I14-I15-I12-I11-I10-I17-(I18/2)</f>
        <v>$12,433</v>
      </c>
      <c r="J21" s="13" t="str">
        <f t="shared" si="21"/>
        <v>$12,806</v>
      </c>
      <c r="K21" s="13" t="str">
        <f t="shared" si="21"/>
        <v>$13,190</v>
      </c>
      <c r="L21" s="13" t="str">
        <f t="shared" si="21"/>
        <v>$13,586</v>
      </c>
      <c r="M21" s="13" t="str">
        <f t="shared" si="21"/>
        <v>$13,993</v>
      </c>
      <c r="N21" s="13" t="str">
        <f t="shared" si="21"/>
        <v>$14,413</v>
      </c>
      <c r="O21" s="13" t="str">
        <f t="shared" si="21"/>
        <v>$14,846</v>
      </c>
      <c r="P21" s="13" t="str">
        <f t="shared" si="21"/>
        <v>$15,291</v>
      </c>
      <c r="Q21" s="13" t="str">
        <f t="shared" si="21"/>
        <v>$15,750</v>
      </c>
      <c r="R21" s="13" t="str">
        <f t="shared" si="21"/>
        <v>$16,222</v>
      </c>
      <c r="S21" s="13" t="str">
        <f t="shared" si="21"/>
        <v>$16,709</v>
      </c>
      <c r="T21" s="13" t="str">
        <f t="shared" si="21"/>
        <v>$17,210</v>
      </c>
      <c r="U21" s="13" t="str">
        <f t="shared" si="21"/>
        <v>$17,727</v>
      </c>
      <c r="V21" s="13" t="str">
        <f t="shared" si="21"/>
        <v>$18,258</v>
      </c>
      <c r="W21" s="13" t="str">
        <f t="shared" si="21"/>
        <v>$18,806</v>
      </c>
      <c r="X21" s="13" t="str">
        <f t="shared" si="21"/>
        <v>$19,370</v>
      </c>
      <c r="Y21" s="13" t="str">
        <f t="shared" si="21"/>
        <v>$19,951</v>
      </c>
      <c r="Z21" s="13" t="str">
        <f t="shared" si="21"/>
        <v>$20,550</v>
      </c>
      <c r="AA21" s="13" t="str">
        <f t="shared" si="21"/>
        <v>$21,166</v>
      </c>
      <c r="AB21" s="13" t="str">
        <f t="shared" si="21"/>
        <v>$21,801</v>
      </c>
      <c r="AC21" s="13" t="str">
        <f t="shared" si="21"/>
        <v>$22,455</v>
      </c>
      <c r="AD21" s="13" t="str">
        <f t="shared" si="21"/>
        <v>$23,129</v>
      </c>
      <c r="AE21" s="13" t="str">
        <f t="shared" si="21"/>
        <v>$23,823</v>
      </c>
      <c r="AF21" s="13" t="str">
        <f t="shared" si="21"/>
        <v>$24,538</v>
      </c>
      <c r="AG21" s="13" t="str">
        <f t="shared" si="21"/>
        <v>$25,274</v>
      </c>
      <c r="AH21" s="13" t="str">
        <f t="shared" si="21"/>
        <v>$26,032</v>
      </c>
      <c r="AI21" s="13" t="str">
        <f t="shared" si="21"/>
        <v>$26,813</v>
      </c>
      <c r="AJ21" s="13" t="str">
        <f t="shared" si="21"/>
        <v>$27,617</v>
      </c>
      <c r="AK21" s="13" t="str">
        <f t="shared" si="21"/>
        <v>$28,446</v>
      </c>
    </row>
    <row r="22">
      <c r="A22" s="6" t="s">
        <v>49</v>
      </c>
      <c r="B22" s="17">
        <v>2000.0</v>
      </c>
      <c r="C22" s="7"/>
      <c r="D22" s="23"/>
      <c r="E22" s="10"/>
      <c r="F22" s="11" t="s">
        <v>50</v>
      </c>
      <c r="G22" s="13"/>
      <c r="H22" s="13" t="str">
        <f t="shared" ref="H22:AK22" si="22">H20-H19</f>
        <v>$4,676</v>
      </c>
      <c r="I22" s="13" t="str">
        <f t="shared" si="22"/>
        <v>$4,962</v>
      </c>
      <c r="J22" s="13" t="str">
        <f t="shared" si="22"/>
        <v>$5,258</v>
      </c>
      <c r="K22" s="13" t="str">
        <f t="shared" si="22"/>
        <v>$5,562</v>
      </c>
      <c r="L22" s="13" t="str">
        <f t="shared" si="22"/>
        <v>$5,875</v>
      </c>
      <c r="M22" s="13" t="str">
        <f t="shared" si="22"/>
        <v>$4,232</v>
      </c>
      <c r="N22" s="13" t="str">
        <f t="shared" si="22"/>
        <v>$4,564</v>
      </c>
      <c r="O22" s="13" t="str">
        <f t="shared" si="22"/>
        <v>$4,906</v>
      </c>
      <c r="P22" s="13" t="str">
        <f t="shared" si="22"/>
        <v>$5,259</v>
      </c>
      <c r="Q22" s="13" t="str">
        <f t="shared" si="22"/>
        <v>$5,622</v>
      </c>
      <c r="R22" s="13" t="str">
        <f t="shared" si="22"/>
        <v>$5,996</v>
      </c>
      <c r="S22" s="13" t="str">
        <f t="shared" si="22"/>
        <v>$6,381</v>
      </c>
      <c r="T22" s="13" t="str">
        <f t="shared" si="22"/>
        <v>$6,778</v>
      </c>
      <c r="U22" s="13" t="str">
        <f t="shared" si="22"/>
        <v>$7,187</v>
      </c>
      <c r="V22" s="13" t="str">
        <f t="shared" si="22"/>
        <v>$7,608</v>
      </c>
      <c r="W22" s="13" t="str">
        <f t="shared" si="22"/>
        <v>$8,042</v>
      </c>
      <c r="X22" s="13" t="str">
        <f t="shared" si="22"/>
        <v>$8,488</v>
      </c>
      <c r="Y22" s="13" t="str">
        <f t="shared" si="22"/>
        <v>$8,948</v>
      </c>
      <c r="Z22" s="13" t="str">
        <f t="shared" si="22"/>
        <v>$9,422</v>
      </c>
      <c r="AA22" s="13" t="str">
        <f t="shared" si="22"/>
        <v>$9,910</v>
      </c>
      <c r="AB22" s="13" t="str">
        <f t="shared" si="22"/>
        <v>$17,259</v>
      </c>
      <c r="AC22" s="13" t="str">
        <f t="shared" si="22"/>
        <v>$17,777</v>
      </c>
      <c r="AD22" s="13" t="str">
        <f t="shared" si="22"/>
        <v>$18,310</v>
      </c>
      <c r="AE22" s="13" t="str">
        <f t="shared" si="22"/>
        <v>$18,859</v>
      </c>
      <c r="AF22" s="13" t="str">
        <f t="shared" si="22"/>
        <v>$19,425</v>
      </c>
      <c r="AG22" s="13" t="str">
        <f t="shared" si="22"/>
        <v>$20,008</v>
      </c>
      <c r="AH22" s="13" t="str">
        <f t="shared" si="22"/>
        <v>$20,608</v>
      </c>
      <c r="AI22" s="13" t="str">
        <f t="shared" si="22"/>
        <v>$21,226</v>
      </c>
      <c r="AJ22" s="13" t="str">
        <f t="shared" si="22"/>
        <v>$21,863</v>
      </c>
      <c r="AK22" s="13" t="str">
        <f t="shared" si="22"/>
        <v>$22,519</v>
      </c>
    </row>
    <row r="23">
      <c r="A23" s="6" t="s">
        <v>51</v>
      </c>
      <c r="B23" s="17">
        <v>500.0</v>
      </c>
      <c r="C23" s="7"/>
      <c r="D23" s="23"/>
      <c r="E23" s="5"/>
      <c r="F23" s="6" t="s">
        <v>52</v>
      </c>
      <c r="H23" t="str">
        <f t="shared" ref="H23:AK23" si="23">if(H1=(($B$8)),H2,0)</f>
        <v>0</v>
      </c>
      <c r="I23" t="str">
        <f t="shared" si="23"/>
        <v>0</v>
      </c>
      <c r="J23" t="str">
        <f t="shared" si="23"/>
        <v>0</v>
      </c>
      <c r="K23" t="str">
        <f t="shared" si="23"/>
        <v>0</v>
      </c>
      <c r="L23" t="str">
        <f t="shared" si="23"/>
        <v>0</v>
      </c>
      <c r="M23" t="str">
        <f t="shared" si="23"/>
        <v>0</v>
      </c>
      <c r="N23" t="str">
        <f t="shared" si="23"/>
        <v>0</v>
      </c>
      <c r="O23" t="str">
        <f t="shared" si="23"/>
        <v>0</v>
      </c>
      <c r="P23" t="str">
        <f t="shared" si="23"/>
        <v>0</v>
      </c>
      <c r="Q23" t="str">
        <f t="shared" si="23"/>
        <v>0</v>
      </c>
      <c r="R23" t="str">
        <f t="shared" si="23"/>
        <v>0</v>
      </c>
      <c r="S23" t="str">
        <f t="shared" si="23"/>
        <v>0</v>
      </c>
      <c r="T23" t="str">
        <f t="shared" si="23"/>
        <v>0</v>
      </c>
      <c r="U23" t="str">
        <f t="shared" si="23"/>
        <v>0</v>
      </c>
      <c r="V23" t="str">
        <f t="shared" si="23"/>
        <v>0</v>
      </c>
      <c r="W23" t="str">
        <f t="shared" si="23"/>
        <v>0</v>
      </c>
      <c r="X23" t="str">
        <f t="shared" si="23"/>
        <v>0</v>
      </c>
      <c r="Y23" t="str">
        <f t="shared" si="23"/>
        <v>0</v>
      </c>
      <c r="Z23" t="str">
        <f t="shared" si="23"/>
        <v>0</v>
      </c>
      <c r="AA23" s="13" t="str">
        <f t="shared" si="23"/>
        <v>$133,472</v>
      </c>
      <c r="AB23" t="str">
        <f t="shared" si="23"/>
        <v>0</v>
      </c>
      <c r="AC23" t="str">
        <f t="shared" si="23"/>
        <v>0</v>
      </c>
      <c r="AD23" t="str">
        <f t="shared" si="23"/>
        <v>0</v>
      </c>
      <c r="AE23" t="str">
        <f t="shared" si="23"/>
        <v>0</v>
      </c>
      <c r="AF23" t="str">
        <f t="shared" si="23"/>
        <v>0</v>
      </c>
      <c r="AG23" t="str">
        <f t="shared" si="23"/>
        <v>0</v>
      </c>
      <c r="AH23" t="str">
        <f t="shared" si="23"/>
        <v>0</v>
      </c>
      <c r="AI23" t="str">
        <f t="shared" si="23"/>
        <v>0</v>
      </c>
      <c r="AJ23" t="str">
        <f t="shared" si="23"/>
        <v>0</v>
      </c>
      <c r="AK23" t="str">
        <f t="shared" si="23"/>
        <v>0</v>
      </c>
    </row>
    <row r="24">
      <c r="A24" s="6" t="s">
        <v>53</v>
      </c>
      <c r="B24" s="17">
        <v>3000.0</v>
      </c>
      <c r="C24" s="2" t="s">
        <v>54</v>
      </c>
      <c r="D24" s="23"/>
      <c r="E24" s="5"/>
      <c r="F24" s="37"/>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row>
    <row r="25">
      <c r="A25" s="6" t="s">
        <v>55</v>
      </c>
      <c r="B25" s="17">
        <v>240.0</v>
      </c>
      <c r="C25" s="7"/>
      <c r="D25" s="23"/>
      <c r="E25" s="24"/>
      <c r="F25" s="25" t="s">
        <v>56</v>
      </c>
      <c r="G25" s="32" t="str">
        <f>-B40</f>
        <v>-$24,398</v>
      </c>
      <c r="H25" s="13" t="str">
        <f t="shared" ref="H25:AK25" si="24">H22+H23</f>
        <v>$4,676</v>
      </c>
      <c r="I25" s="13" t="str">
        <f t="shared" si="24"/>
        <v>$4,962</v>
      </c>
      <c r="J25" s="13" t="str">
        <f t="shared" si="24"/>
        <v>$5,258</v>
      </c>
      <c r="K25" s="13" t="str">
        <f t="shared" si="24"/>
        <v>$5,562</v>
      </c>
      <c r="L25" s="13" t="str">
        <f t="shared" si="24"/>
        <v>$5,875</v>
      </c>
      <c r="M25" s="13" t="str">
        <f t="shared" si="24"/>
        <v>$4,232</v>
      </c>
      <c r="N25" s="13" t="str">
        <f t="shared" si="24"/>
        <v>$4,564</v>
      </c>
      <c r="O25" s="13" t="str">
        <f t="shared" si="24"/>
        <v>$4,906</v>
      </c>
      <c r="P25" s="13" t="str">
        <f t="shared" si="24"/>
        <v>$5,259</v>
      </c>
      <c r="Q25" s="13" t="str">
        <f t="shared" si="24"/>
        <v>$5,622</v>
      </c>
      <c r="R25" s="13" t="str">
        <f t="shared" si="24"/>
        <v>$5,996</v>
      </c>
      <c r="S25" s="13" t="str">
        <f t="shared" si="24"/>
        <v>$6,381</v>
      </c>
      <c r="T25" s="13" t="str">
        <f t="shared" si="24"/>
        <v>$6,778</v>
      </c>
      <c r="U25" s="13" t="str">
        <f t="shared" si="24"/>
        <v>$7,187</v>
      </c>
      <c r="V25" s="13" t="str">
        <f t="shared" si="24"/>
        <v>$7,608</v>
      </c>
      <c r="W25" s="13" t="str">
        <f t="shared" si="24"/>
        <v>$8,042</v>
      </c>
      <c r="X25" s="13" t="str">
        <f t="shared" si="24"/>
        <v>$8,488</v>
      </c>
      <c r="Y25" s="13" t="str">
        <f t="shared" si="24"/>
        <v>$8,948</v>
      </c>
      <c r="Z25" s="13" t="str">
        <f t="shared" si="24"/>
        <v>$9,422</v>
      </c>
      <c r="AA25" s="13" t="str">
        <f t="shared" si="24"/>
        <v>$143,382</v>
      </c>
      <c r="AB25" s="13" t="str">
        <f t="shared" si="24"/>
        <v>$17,259</v>
      </c>
      <c r="AC25" s="13" t="str">
        <f t="shared" si="24"/>
        <v>$17,777</v>
      </c>
      <c r="AD25" s="13" t="str">
        <f t="shared" si="24"/>
        <v>$18,310</v>
      </c>
      <c r="AE25" s="13" t="str">
        <f t="shared" si="24"/>
        <v>$18,859</v>
      </c>
      <c r="AF25" s="13" t="str">
        <f t="shared" si="24"/>
        <v>$19,425</v>
      </c>
      <c r="AG25" s="13" t="str">
        <f t="shared" si="24"/>
        <v>$20,008</v>
      </c>
      <c r="AH25" s="13" t="str">
        <f t="shared" si="24"/>
        <v>$20,608</v>
      </c>
      <c r="AI25" s="13" t="str">
        <f t="shared" si="24"/>
        <v>$21,226</v>
      </c>
      <c r="AJ25" s="13" t="str">
        <f t="shared" si="24"/>
        <v>$21,863</v>
      </c>
      <c r="AK25" s="13" t="str">
        <f t="shared" si="24"/>
        <v>$22,519</v>
      </c>
    </row>
    <row r="26">
      <c r="A26" s="6" t="s">
        <v>31</v>
      </c>
      <c r="B26" s="17" t="str">
        <f>60*12</f>
        <v>720</v>
      </c>
      <c r="C26" s="7"/>
      <c r="D26" s="23"/>
      <c r="E26" s="10"/>
      <c r="F26" s="11" t="s">
        <v>57</v>
      </c>
      <c r="G26" s="39" t="str">
        <f>irr(G25:AA25)</f>
        <v>23.26%</v>
      </c>
    </row>
    <row r="27">
      <c r="A27" s="6" t="s">
        <v>58</v>
      </c>
      <c r="B27" s="19">
        <v>0.1</v>
      </c>
      <c r="C27" s="7"/>
      <c r="D27" s="23"/>
      <c r="E27" s="5"/>
      <c r="F27" s="40"/>
      <c r="H27" s="41"/>
    </row>
    <row r="28">
      <c r="A28" s="6"/>
      <c r="B28" s="23"/>
      <c r="C28" s="7"/>
      <c r="D28" s="23"/>
      <c r="E28" s="5"/>
      <c r="F28" s="40"/>
      <c r="H28" s="41"/>
    </row>
    <row r="29">
      <c r="A29" s="11"/>
      <c r="B29" s="23"/>
      <c r="C29" s="7"/>
      <c r="D29" s="23"/>
      <c r="E29" s="10"/>
      <c r="F29" s="11" t="s">
        <v>59</v>
      </c>
      <c r="H29" s="13" t="str">
        <f t="shared" ref="H29:AK29" si="25">H21-H6-H9</f>
        <v>$6,051</v>
      </c>
      <c r="I29" s="13" t="str">
        <f t="shared" si="25"/>
        <v>$6,503</v>
      </c>
      <c r="J29" s="13" t="str">
        <f t="shared" si="25"/>
        <v>$6,971</v>
      </c>
      <c r="K29" s="13" t="str">
        <f t="shared" si="25"/>
        <v>$7,454</v>
      </c>
      <c r="L29" s="13" t="str">
        <f t="shared" si="25"/>
        <v>$7,955</v>
      </c>
      <c r="M29" s="13" t="str">
        <f t="shared" si="25"/>
        <v>$6,222</v>
      </c>
      <c r="N29" s="13" t="str">
        <f t="shared" si="25"/>
        <v>$6,827</v>
      </c>
      <c r="O29" s="13" t="str">
        <f t="shared" si="25"/>
        <v>$7,462</v>
      </c>
      <c r="P29" s="13" t="str">
        <f t="shared" si="25"/>
        <v>$8,130</v>
      </c>
      <c r="Q29" s="13" t="str">
        <f t="shared" si="25"/>
        <v>$8,834</v>
      </c>
      <c r="R29" s="13" t="str">
        <f t="shared" si="25"/>
        <v>$9,577</v>
      </c>
      <c r="S29" s="13" t="str">
        <f t="shared" si="25"/>
        <v>$10,360</v>
      </c>
      <c r="T29" s="13" t="str">
        <f t="shared" si="25"/>
        <v>$11,188</v>
      </c>
      <c r="U29" s="13" t="str">
        <f t="shared" si="25"/>
        <v>$12,063</v>
      </c>
      <c r="V29" s="13" t="str">
        <f t="shared" si="25"/>
        <v>$12,990</v>
      </c>
      <c r="W29" s="13" t="str">
        <f t="shared" si="25"/>
        <v>$13,973</v>
      </c>
      <c r="X29" s="13" t="str">
        <f t="shared" si="25"/>
        <v>$15,015</v>
      </c>
      <c r="Y29" s="13" t="str">
        <f t="shared" si="25"/>
        <v>$16,122</v>
      </c>
      <c r="Z29" s="13" t="str">
        <f t="shared" si="25"/>
        <v>$17,299</v>
      </c>
      <c r="AA29" s="13" t="str">
        <f t="shared" si="25"/>
        <v>$18,552</v>
      </c>
      <c r="AB29" s="13" t="str">
        <f t="shared" si="25"/>
        <v>$19,033</v>
      </c>
      <c r="AC29" s="13" t="str">
        <f t="shared" si="25"/>
        <v>$19,688</v>
      </c>
      <c r="AD29" s="13" t="str">
        <f t="shared" si="25"/>
        <v>$20,361</v>
      </c>
      <c r="AE29" s="13" t="str">
        <f t="shared" si="25"/>
        <v>$21,055</v>
      </c>
      <c r="AF29" s="13" t="str">
        <f t="shared" si="25"/>
        <v>$21,770</v>
      </c>
      <c r="AG29" s="13" t="str">
        <f t="shared" si="25"/>
        <v>$22,506</v>
      </c>
      <c r="AH29" s="13" t="str">
        <f t="shared" si="25"/>
        <v>$23,264</v>
      </c>
      <c r="AI29" s="13" t="str">
        <f t="shared" si="25"/>
        <v>$25,429</v>
      </c>
      <c r="AJ29" s="13" t="str">
        <f t="shared" si="25"/>
        <v>$27,617</v>
      </c>
      <c r="AK29" s="13" t="str">
        <f t="shared" si="25"/>
        <v>$28,446</v>
      </c>
    </row>
    <row r="30">
      <c r="A30" s="42" t="s">
        <v>60</v>
      </c>
      <c r="B30" s="23"/>
      <c r="C30" s="7"/>
      <c r="D30" s="23"/>
      <c r="E30" s="10"/>
      <c r="F30" s="11" t="s">
        <v>61</v>
      </c>
      <c r="H30" s="13" t="str">
        <f t="shared" ref="H30:AK30" si="26">(H29*0.35)+if(H23&gt;0,((H23-$G$2)*0.2),0)</f>
        <v>$2,118</v>
      </c>
      <c r="I30" s="13" t="str">
        <f t="shared" si="26"/>
        <v>$2,276</v>
      </c>
      <c r="J30" s="13" t="str">
        <f t="shared" si="26"/>
        <v>$2,440</v>
      </c>
      <c r="K30" s="13" t="str">
        <f t="shared" si="26"/>
        <v>$2,609</v>
      </c>
      <c r="L30" s="13" t="str">
        <f t="shared" si="26"/>
        <v>$2,784</v>
      </c>
      <c r="M30" s="13" t="str">
        <f t="shared" si="26"/>
        <v>$2,178</v>
      </c>
      <c r="N30" s="13" t="str">
        <f t="shared" si="26"/>
        <v>$2,389</v>
      </c>
      <c r="O30" s="13" t="str">
        <f t="shared" si="26"/>
        <v>$2,612</v>
      </c>
      <c r="P30" s="13" t="str">
        <f t="shared" si="26"/>
        <v>$2,846</v>
      </c>
      <c r="Q30" s="13" t="str">
        <f t="shared" si="26"/>
        <v>$3,092</v>
      </c>
      <c r="R30" s="13" t="str">
        <f t="shared" si="26"/>
        <v>$3,352</v>
      </c>
      <c r="S30" s="13" t="str">
        <f t="shared" si="26"/>
        <v>$3,626</v>
      </c>
      <c r="T30" s="13" t="str">
        <f t="shared" si="26"/>
        <v>$3,916</v>
      </c>
      <c r="U30" s="13" t="str">
        <f t="shared" si="26"/>
        <v>$4,222</v>
      </c>
      <c r="V30" s="13" t="str">
        <f t="shared" si="26"/>
        <v>$4,547</v>
      </c>
      <c r="W30" s="13" t="str">
        <f t="shared" si="26"/>
        <v>$4,890</v>
      </c>
      <c r="X30" s="13" t="str">
        <f t="shared" si="26"/>
        <v>$5,255</v>
      </c>
      <c r="Y30" s="13" t="str">
        <f t="shared" si="26"/>
        <v>$5,643</v>
      </c>
      <c r="Z30" s="13" t="str">
        <f t="shared" si="26"/>
        <v>$6,055</v>
      </c>
      <c r="AA30" s="13" t="str">
        <f t="shared" si="26"/>
        <v>$18,407</v>
      </c>
      <c r="AB30" s="13" t="str">
        <f t="shared" si="26"/>
        <v>$6,662</v>
      </c>
      <c r="AC30" s="13" t="str">
        <f t="shared" si="26"/>
        <v>$6,891</v>
      </c>
      <c r="AD30" s="13" t="str">
        <f t="shared" si="26"/>
        <v>$7,126</v>
      </c>
      <c r="AE30" s="13" t="str">
        <f t="shared" si="26"/>
        <v>$7,369</v>
      </c>
      <c r="AF30" s="13" t="str">
        <f t="shared" si="26"/>
        <v>$7,619</v>
      </c>
      <c r="AG30" s="13" t="str">
        <f t="shared" si="26"/>
        <v>$7,877</v>
      </c>
      <c r="AH30" s="13" t="str">
        <f t="shared" si="26"/>
        <v>$8,142</v>
      </c>
      <c r="AI30" s="13" t="str">
        <f t="shared" si="26"/>
        <v>$8,900</v>
      </c>
      <c r="AJ30" s="13" t="str">
        <f t="shared" si="26"/>
        <v>$9,666</v>
      </c>
      <c r="AK30" s="13" t="str">
        <f t="shared" si="26"/>
        <v>$9,956</v>
      </c>
    </row>
    <row r="31">
      <c r="A31" s="6" t="s">
        <v>62</v>
      </c>
      <c r="B31" s="43" t="str">
        <f>1700+(B3*0.06)</f>
        <v>6134</v>
      </c>
      <c r="C31" s="2"/>
      <c r="D31" s="23"/>
      <c r="E31" s="10"/>
      <c r="F31" s="11" t="s">
        <v>63</v>
      </c>
      <c r="G31" s="44" t="str">
        <f>G25</f>
        <v>-$24,398.00</v>
      </c>
      <c r="H31" s="13" t="str">
        <f t="shared" ref="H31:AK31" si="27">H25-H30</f>
        <v>$2,558</v>
      </c>
      <c r="I31" s="13" t="str">
        <f t="shared" si="27"/>
        <v>$2,686</v>
      </c>
      <c r="J31" s="13" t="str">
        <f t="shared" si="27"/>
        <v>$2,818</v>
      </c>
      <c r="K31" s="13" t="str">
        <f t="shared" si="27"/>
        <v>$2,953</v>
      </c>
      <c r="L31" s="13" t="str">
        <f t="shared" si="27"/>
        <v>$3,091</v>
      </c>
      <c r="M31" s="13" t="str">
        <f t="shared" si="27"/>
        <v>$2,054</v>
      </c>
      <c r="N31" s="13" t="str">
        <f t="shared" si="27"/>
        <v>$2,175</v>
      </c>
      <c r="O31" s="13" t="str">
        <f t="shared" si="27"/>
        <v>$2,295</v>
      </c>
      <c r="P31" s="13" t="str">
        <f t="shared" si="27"/>
        <v>$2,413</v>
      </c>
      <c r="Q31" s="13" t="str">
        <f t="shared" si="27"/>
        <v>$2,530</v>
      </c>
      <c r="R31" s="13" t="str">
        <f t="shared" si="27"/>
        <v>$2,644</v>
      </c>
      <c r="S31" s="13" t="str">
        <f t="shared" si="27"/>
        <v>$2,755</v>
      </c>
      <c r="T31" s="13" t="str">
        <f t="shared" si="27"/>
        <v>$2,862</v>
      </c>
      <c r="U31" s="13" t="str">
        <f t="shared" si="27"/>
        <v>$2,965</v>
      </c>
      <c r="V31" s="13" t="str">
        <f t="shared" si="27"/>
        <v>$3,061</v>
      </c>
      <c r="W31" s="13" t="str">
        <f t="shared" si="27"/>
        <v>$3,151</v>
      </c>
      <c r="X31" s="13" t="str">
        <f t="shared" si="27"/>
        <v>$3,233</v>
      </c>
      <c r="Y31" s="13" t="str">
        <f t="shared" si="27"/>
        <v>$3,306</v>
      </c>
      <c r="Z31" s="13" t="str">
        <f t="shared" si="27"/>
        <v>$3,367</v>
      </c>
      <c r="AA31" s="13" t="str">
        <f t="shared" si="27"/>
        <v>$124,974</v>
      </c>
      <c r="AB31" s="13" t="str">
        <f t="shared" si="27"/>
        <v>$10,597</v>
      </c>
      <c r="AC31" s="13" t="str">
        <f t="shared" si="27"/>
        <v>$10,886</v>
      </c>
      <c r="AD31" s="13" t="str">
        <f t="shared" si="27"/>
        <v>$11,184</v>
      </c>
      <c r="AE31" s="13" t="str">
        <f t="shared" si="27"/>
        <v>$11,490</v>
      </c>
      <c r="AF31" s="13" t="str">
        <f t="shared" si="27"/>
        <v>$11,806</v>
      </c>
      <c r="AG31" s="13" t="str">
        <f t="shared" si="27"/>
        <v>$12,131</v>
      </c>
      <c r="AH31" s="13" t="str">
        <f t="shared" si="27"/>
        <v>$12,466</v>
      </c>
      <c r="AI31" s="13" t="str">
        <f t="shared" si="27"/>
        <v>$12,326</v>
      </c>
      <c r="AJ31" s="13" t="str">
        <f t="shared" si="27"/>
        <v>$12,197</v>
      </c>
      <c r="AK31" s="13" t="str">
        <f t="shared" si="27"/>
        <v>$12,563</v>
      </c>
    </row>
    <row r="32">
      <c r="A32" s="6" t="s">
        <v>64</v>
      </c>
      <c r="B32" s="45" t="str">
        <f>B3*B5</f>
        <v>14780</v>
      </c>
      <c r="C32" s="46"/>
      <c r="D32" s="47"/>
      <c r="E32" s="5"/>
      <c r="F32" s="6" t="s">
        <v>65</v>
      </c>
      <c r="G32" s="48" t="str">
        <f>irr(G31:AA31)</f>
        <v>15%</v>
      </c>
      <c r="H32" s="41"/>
    </row>
    <row r="33">
      <c r="A33" s="6" t="s">
        <v>66</v>
      </c>
      <c r="B33" s="49" t="str">
        <f>B3-B32</f>
        <v>59,120</v>
      </c>
      <c r="D33" s="47"/>
      <c r="E33" s="10"/>
      <c r="F33" s="11"/>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row>
    <row r="34">
      <c r="A34" s="6" t="s">
        <v>67</v>
      </c>
      <c r="B34" s="45">
        <v>1.03</v>
      </c>
      <c r="C34" s="46"/>
      <c r="D34" s="47"/>
      <c r="E34" s="10"/>
      <c r="F34" s="11"/>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c r="A35" s="6" t="s">
        <v>68</v>
      </c>
      <c r="B35" s="45" t="str">
        <f>sum(B11:B16)</f>
        <v>2255</v>
      </c>
      <c r="C35" s="46"/>
      <c r="D35" s="47"/>
      <c r="E35" s="10"/>
      <c r="F35" s="11"/>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c r="A36" s="6" t="s">
        <v>69</v>
      </c>
      <c r="B36" t="str">
        <f>B35*12</f>
        <v>27060</v>
      </c>
      <c r="C36" s="50"/>
      <c r="D36" s="51"/>
      <c r="E36" s="10"/>
      <c r="F36" s="11"/>
      <c r="G36" s="44"/>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row>
    <row r="37">
      <c r="A37" s="52" t="s">
        <v>70</v>
      </c>
      <c r="B37" s="53" t="str">
        <f>if(B6&gt;0,((B17/B10)*B35*1),0)</f>
        <v>2255</v>
      </c>
      <c r="C37" s="50"/>
      <c r="D37" s="51"/>
      <c r="E37" s="5"/>
      <c r="F37" s="50"/>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row>
    <row r="38">
      <c r="A38" s="25" t="s">
        <v>71</v>
      </c>
      <c r="B38" s="32" t="str">
        <f>if(B19="yes",-(B3*0.015),(B3*0.02))</f>
        <v>$1,478</v>
      </c>
      <c r="C38" s="55"/>
      <c r="D38" s="56"/>
      <c r="E38" s="24"/>
      <c r="F38" s="55"/>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row>
    <row r="39">
      <c r="A39" s="25" t="s">
        <v>72</v>
      </c>
      <c r="B39" s="32" t="str">
        <f>if(B20="yes",-(B3*0.0075),(B2*0.01))</f>
        <v>$739</v>
      </c>
      <c r="C39" s="57"/>
      <c r="D39" s="47"/>
      <c r="E39" s="10"/>
      <c r="F39" s="57"/>
      <c r="G39" s="58"/>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row>
    <row r="40">
      <c r="A40" s="25" t="s">
        <v>17</v>
      </c>
      <c r="B40" s="59" t="str">
        <f>(B32+B31+B9+B38+B39)-(B4+B37)</f>
        <v>$24,398</v>
      </c>
      <c r="C40" s="50"/>
      <c r="D40" s="51"/>
      <c r="E40" s="5"/>
      <c r="F40" s="50"/>
      <c r="G40" s="54"/>
      <c r="H40" s="60"/>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row>
    <row r="41">
      <c r="A41" s="11"/>
      <c r="B41" s="7"/>
      <c r="C41" s="7"/>
      <c r="D41" s="23"/>
      <c r="E41" s="10"/>
      <c r="F41" s="57"/>
      <c r="G41" s="54"/>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row>
    <row r="42">
      <c r="A42" s="11"/>
      <c r="B42" s="7"/>
      <c r="C42" s="7"/>
      <c r="D42" s="23"/>
      <c r="E42" s="10"/>
      <c r="F42" s="57"/>
      <c r="G42" s="54"/>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row>
    <row r="43">
      <c r="A43" s="11"/>
      <c r="B43" s="7"/>
      <c r="C43" s="7"/>
      <c r="D43" s="23"/>
      <c r="E43" s="10"/>
      <c r="F43" s="57"/>
      <c r="G43" s="61"/>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row>
    <row r="44">
      <c r="A44" s="11"/>
      <c r="B44" s="7"/>
      <c r="C44" s="7"/>
      <c r="D44" s="23"/>
      <c r="E44" s="10"/>
      <c r="F44" s="57"/>
      <c r="G44" s="58"/>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row>
    <row r="45">
      <c r="A45" s="40"/>
      <c r="D45" s="4"/>
      <c r="E45" s="5"/>
      <c r="F45" s="40"/>
    </row>
    <row r="46">
      <c r="A46" s="40"/>
      <c r="D46" s="4"/>
      <c r="E46" s="5"/>
      <c r="F46" s="40"/>
    </row>
    <row r="47">
      <c r="A47" s="40"/>
      <c r="D47" s="4"/>
      <c r="E47" s="5"/>
      <c r="F47" s="40"/>
    </row>
    <row r="48">
      <c r="A48" s="40"/>
      <c r="D48" s="4"/>
      <c r="E48" s="5"/>
      <c r="F48" s="40"/>
    </row>
    <row r="49">
      <c r="A49" s="40"/>
      <c r="D49" s="4"/>
      <c r="E49" s="5"/>
      <c r="F49" s="40"/>
    </row>
    <row r="50">
      <c r="A50" s="40"/>
      <c r="D50" s="4"/>
      <c r="E50" s="5"/>
      <c r="F50" s="40"/>
    </row>
    <row r="51">
      <c r="A51" s="40"/>
      <c r="D51" s="4"/>
      <c r="E51" s="5"/>
      <c r="F51" s="40"/>
    </row>
    <row r="52">
      <c r="A52" s="40"/>
      <c r="D52" s="4"/>
      <c r="E52" s="5"/>
      <c r="F52" s="40"/>
    </row>
    <row r="53">
      <c r="A53" s="40"/>
      <c r="D53" s="4"/>
      <c r="E53" s="5"/>
      <c r="F53" s="40"/>
    </row>
    <row r="54">
      <c r="A54" s="40"/>
      <c r="D54" s="4"/>
      <c r="E54" s="5"/>
      <c r="F54" s="40"/>
    </row>
    <row r="55">
      <c r="A55" s="40"/>
      <c r="D55" s="4"/>
      <c r="E55" s="5"/>
      <c r="F55" s="40"/>
    </row>
    <row r="56">
      <c r="A56" s="40"/>
      <c r="D56" s="4"/>
      <c r="E56" s="5"/>
      <c r="F56" s="40"/>
    </row>
    <row r="57">
      <c r="A57" s="40"/>
      <c r="D57" s="4"/>
      <c r="E57" s="5"/>
      <c r="F57" s="40"/>
    </row>
    <row r="58">
      <c r="A58" s="40"/>
      <c r="D58" s="4"/>
      <c r="E58" s="5"/>
      <c r="F58" s="40"/>
    </row>
    <row r="59">
      <c r="A59" s="40"/>
      <c r="D59" s="4"/>
      <c r="E59" s="5"/>
      <c r="F59" s="40"/>
    </row>
    <row r="60">
      <c r="A60" s="40"/>
      <c r="D60" s="4"/>
      <c r="E60" s="5"/>
      <c r="F60" s="40"/>
    </row>
    <row r="61">
      <c r="A61" s="40"/>
      <c r="D61" s="4"/>
      <c r="E61" s="5"/>
      <c r="F61" s="40"/>
    </row>
    <row r="62">
      <c r="A62" s="40"/>
      <c r="D62" s="4"/>
      <c r="E62" s="5"/>
      <c r="F62" s="40"/>
    </row>
    <row r="63">
      <c r="A63" s="40"/>
      <c r="D63" s="4"/>
      <c r="E63" s="5"/>
      <c r="F63" s="40"/>
    </row>
    <row r="64">
      <c r="A64" s="40"/>
      <c r="D64" s="4"/>
      <c r="E64" s="5"/>
      <c r="F64" s="40"/>
    </row>
    <row r="65">
      <c r="A65" s="40"/>
      <c r="D65" s="4"/>
      <c r="E65" s="5"/>
      <c r="F65" s="40"/>
    </row>
    <row r="66">
      <c r="A66" s="40"/>
      <c r="D66" s="4"/>
      <c r="E66" s="5"/>
      <c r="F66" s="40"/>
    </row>
    <row r="67">
      <c r="A67" s="40"/>
      <c r="D67" s="4"/>
      <c r="E67" s="5"/>
      <c r="F67" s="40"/>
    </row>
    <row r="68">
      <c r="A68" s="40"/>
      <c r="D68" s="4"/>
      <c r="E68" s="5"/>
      <c r="F68" s="40"/>
    </row>
    <row r="69">
      <c r="A69" s="40"/>
      <c r="D69" s="4"/>
      <c r="E69" s="5"/>
      <c r="F69" s="40"/>
    </row>
    <row r="70">
      <c r="A70" s="40"/>
      <c r="D70" s="4"/>
      <c r="E70" s="5"/>
      <c r="F70" s="40"/>
    </row>
    <row r="71">
      <c r="A71" s="40"/>
      <c r="D71" s="4"/>
      <c r="E71" s="5"/>
      <c r="F71" s="40"/>
    </row>
    <row r="72">
      <c r="A72" s="40"/>
      <c r="D72" s="4"/>
      <c r="E72" s="5"/>
      <c r="F72" s="40"/>
    </row>
    <row r="73">
      <c r="A73" s="40"/>
      <c r="D73" s="4"/>
      <c r="E73" s="5"/>
      <c r="F73" s="40"/>
    </row>
    <row r="74">
      <c r="A74" s="40"/>
      <c r="D74" s="4"/>
      <c r="E74" s="5"/>
      <c r="F74" s="40"/>
    </row>
    <row r="75">
      <c r="A75" s="40"/>
      <c r="D75" s="4"/>
      <c r="E75" s="5"/>
      <c r="F75" s="40"/>
    </row>
    <row r="76">
      <c r="A76" s="40"/>
      <c r="D76" s="4"/>
      <c r="E76" s="5"/>
      <c r="F76" s="40"/>
    </row>
    <row r="77">
      <c r="A77" s="40"/>
      <c r="D77" s="4"/>
      <c r="E77" s="5"/>
      <c r="F77" s="40"/>
    </row>
    <row r="78">
      <c r="A78" s="40"/>
      <c r="D78" s="4"/>
      <c r="E78" s="5"/>
      <c r="F78" s="40"/>
    </row>
    <row r="79">
      <c r="A79" s="40"/>
      <c r="D79" s="4"/>
      <c r="E79" s="5"/>
      <c r="F79" s="40"/>
    </row>
    <row r="80">
      <c r="A80" s="40"/>
      <c r="D80" s="4"/>
      <c r="E80" s="5"/>
      <c r="F80" s="40"/>
    </row>
    <row r="81">
      <c r="A81" s="40"/>
      <c r="D81" s="4"/>
      <c r="E81" s="5"/>
      <c r="F81" s="40"/>
    </row>
    <row r="82">
      <c r="A82" s="40"/>
      <c r="D82" s="4"/>
      <c r="E82" s="5"/>
      <c r="F82" s="40"/>
    </row>
    <row r="83">
      <c r="A83" s="40"/>
      <c r="D83" s="4"/>
      <c r="E83" s="5"/>
      <c r="F83" s="40"/>
    </row>
    <row r="84">
      <c r="A84" s="40"/>
      <c r="D84" s="4"/>
      <c r="E84" s="5"/>
      <c r="F84" s="40"/>
    </row>
    <row r="85">
      <c r="A85" s="40"/>
      <c r="D85" s="4"/>
      <c r="E85" s="5"/>
      <c r="F85" s="40"/>
    </row>
    <row r="86">
      <c r="A86" s="40"/>
      <c r="D86" s="4"/>
      <c r="E86" s="5"/>
      <c r="F86" s="40"/>
    </row>
    <row r="87">
      <c r="A87" s="40"/>
      <c r="D87" s="4"/>
      <c r="E87" s="5"/>
      <c r="F87" s="40"/>
    </row>
    <row r="88">
      <c r="A88" s="40"/>
      <c r="D88" s="4"/>
      <c r="E88" s="5"/>
      <c r="F88" s="40"/>
    </row>
    <row r="89">
      <c r="A89" s="40"/>
      <c r="D89" s="4"/>
      <c r="E89" s="5"/>
      <c r="F89" s="40"/>
    </row>
    <row r="90">
      <c r="A90" s="40"/>
      <c r="D90" s="4"/>
      <c r="E90" s="5"/>
      <c r="F90" s="40"/>
    </row>
    <row r="91">
      <c r="A91" s="40"/>
      <c r="D91" s="4"/>
      <c r="E91" s="5"/>
      <c r="F91" s="40"/>
    </row>
    <row r="92">
      <c r="A92" s="40"/>
      <c r="D92" s="4"/>
      <c r="E92" s="5"/>
      <c r="F92" s="40"/>
    </row>
    <row r="93">
      <c r="A93" s="40"/>
      <c r="D93" s="4"/>
      <c r="E93" s="5"/>
      <c r="F93" s="40"/>
    </row>
    <row r="94">
      <c r="A94" s="40"/>
      <c r="D94" s="4"/>
      <c r="E94" s="5"/>
      <c r="F94" s="40"/>
    </row>
    <row r="95">
      <c r="A95" s="40"/>
      <c r="D95" s="4"/>
      <c r="E95" s="5"/>
      <c r="F95" s="40"/>
    </row>
    <row r="96">
      <c r="A96" s="40"/>
      <c r="D96" s="4"/>
      <c r="E96" s="5"/>
      <c r="F96" s="40"/>
    </row>
    <row r="97">
      <c r="A97" s="40"/>
      <c r="D97" s="4"/>
      <c r="E97" s="5"/>
      <c r="F97" s="40"/>
    </row>
    <row r="98">
      <c r="A98" s="40"/>
      <c r="D98" s="4"/>
      <c r="E98" s="5"/>
      <c r="F98" s="40"/>
    </row>
    <row r="99">
      <c r="A99" s="40"/>
      <c r="D99" s="4"/>
      <c r="E99" s="5"/>
      <c r="F99" s="40"/>
    </row>
    <row r="100">
      <c r="A100" s="40"/>
      <c r="D100" s="4"/>
      <c r="E100" s="5"/>
      <c r="F100" s="40"/>
    </row>
    <row r="101">
      <c r="A101" s="40"/>
      <c r="D101" s="4"/>
      <c r="E101" s="5"/>
      <c r="F101" s="40"/>
    </row>
    <row r="102">
      <c r="A102" s="40"/>
      <c r="D102" s="4"/>
      <c r="E102" s="5"/>
      <c r="F102" s="40"/>
    </row>
    <row r="103">
      <c r="A103" s="40"/>
      <c r="D103" s="4"/>
      <c r="E103" s="5"/>
      <c r="F103" s="40"/>
    </row>
    <row r="104">
      <c r="A104" s="40"/>
      <c r="D104" s="4"/>
      <c r="E104" s="5"/>
      <c r="F104" s="40"/>
    </row>
    <row r="105">
      <c r="A105" s="40"/>
      <c r="D105" s="4"/>
      <c r="E105" s="5"/>
      <c r="F105" s="40"/>
    </row>
    <row r="106">
      <c r="A106" s="40"/>
      <c r="D106" s="4"/>
      <c r="E106" s="5"/>
      <c r="F106" s="40"/>
    </row>
    <row r="107">
      <c r="A107" s="40"/>
      <c r="D107" s="4"/>
      <c r="E107" s="5"/>
      <c r="F107" s="40"/>
    </row>
    <row r="108">
      <c r="A108" s="40"/>
      <c r="D108" s="4"/>
      <c r="E108" s="5"/>
      <c r="F108" s="40"/>
    </row>
    <row r="109">
      <c r="A109" s="40"/>
      <c r="D109" s="4"/>
      <c r="E109" s="5"/>
      <c r="F109" s="40"/>
    </row>
    <row r="110">
      <c r="A110" s="40"/>
      <c r="D110" s="4"/>
      <c r="E110" s="5"/>
      <c r="F110" s="40"/>
    </row>
    <row r="111">
      <c r="A111" s="40"/>
      <c r="D111" s="4"/>
      <c r="E111" s="5"/>
      <c r="F111" s="40"/>
    </row>
    <row r="112">
      <c r="A112" s="40"/>
      <c r="D112" s="4"/>
      <c r="E112" s="5"/>
      <c r="F112" s="40"/>
    </row>
    <row r="113">
      <c r="A113" s="40"/>
      <c r="D113" s="4"/>
      <c r="E113" s="5"/>
      <c r="F113" s="40"/>
    </row>
    <row r="114">
      <c r="A114" s="40"/>
      <c r="D114" s="4"/>
      <c r="E114" s="5"/>
      <c r="F114" s="40"/>
    </row>
    <row r="115">
      <c r="A115" s="40"/>
      <c r="D115" s="4"/>
      <c r="E115" s="5"/>
      <c r="F115" s="40"/>
    </row>
    <row r="116">
      <c r="A116" s="40"/>
      <c r="D116" s="4"/>
      <c r="E116" s="5"/>
      <c r="F116" s="40"/>
    </row>
    <row r="117">
      <c r="A117" s="40"/>
      <c r="D117" s="4"/>
      <c r="E117" s="5"/>
      <c r="F117" s="40"/>
    </row>
    <row r="118">
      <c r="A118" s="40"/>
      <c r="D118" s="4"/>
      <c r="E118" s="5"/>
      <c r="F118" s="40"/>
    </row>
    <row r="119">
      <c r="A119" s="40"/>
      <c r="D119" s="4"/>
      <c r="E119" s="5"/>
      <c r="F119" s="40"/>
    </row>
    <row r="120">
      <c r="A120" s="40"/>
      <c r="D120" s="4"/>
      <c r="E120" s="5"/>
      <c r="F120" s="40"/>
    </row>
    <row r="121">
      <c r="A121" s="40"/>
      <c r="D121" s="4"/>
      <c r="E121" s="5"/>
      <c r="F121" s="40"/>
    </row>
  </sheetData>
  <dataValidations>
    <dataValidation type="list" allowBlank="1" sqref="B19:B20">
      <formula1>"yes,no"</formula1>
    </dataValidation>
  </dataValidations>
  <drawing r:id="rId2"/>
  <legacyDrawing r:id="rId3"/>
</worksheet>
</file>